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ficambs.sharepoint.com/sites/CambridgePeterborough/Production/AQ2022/Course materials/Level 3/MATS/MATS CN/"/>
    </mc:Choice>
  </mc:AlternateContent>
  <xr:revisionPtr revIDLastSave="0" documentId="13_ncr:1_{EBEAE15E-337E-4581-8C9B-858223338194}" xr6:coauthVersionLast="47" xr6:coauthVersionMax="47" xr10:uidLastSave="{00000000-0000-0000-0000-000000000000}"/>
  <bookViews>
    <workbookView minimized="1" xWindow="-9120" yWindow="7335" windowWidth="17280" windowHeight="15600" firstSheet="28" activeTab="30" xr2:uid="{00000000-000D-0000-FFFF-FFFF00000000}"/>
  </bookViews>
  <sheets>
    <sheet name="CH15(1) Simple" sheetId="19" r:id="rId1"/>
    <sheet name="Ch15(2) Absolute cell ref" sheetId="34" r:id="rId2"/>
    <sheet name="Ch15(3) Sum(1)" sheetId="3" r:id="rId3"/>
    <sheet name="Ch15(4) Sum(2)" sheetId="18" r:id="rId4"/>
    <sheet name="Ch15(5) Date and time" sheetId="35" r:id="rId5"/>
    <sheet name="Ch15(6) Round" sheetId="54" r:id="rId6"/>
    <sheet name="Ch15(7) Charts(1)" sheetId="8" r:id="rId7"/>
    <sheet name="Chart1" sheetId="72" r:id="rId8"/>
    <sheet name="Ch15(8) Charts(2)" sheetId="52" r:id="rId9"/>
    <sheet name="Ch15(9) Links(1)" sheetId="44" r:id="rId10"/>
    <sheet name="Ch15(10) Links(2)" sheetId="45" r:id="rId11"/>
    <sheet name="Ch16(1) Average" sheetId="20" r:id="rId12"/>
    <sheet name="Ch16(2) Movingave" sheetId="16" r:id="rId13"/>
    <sheet name="Ch16(3) Count and Countif" sheetId="36" r:id="rId14"/>
    <sheet name="Ch16(4) Forecast" sheetId="37" r:id="rId15"/>
    <sheet name="Ch16(5) IF" sheetId="25" r:id="rId16"/>
    <sheet name="Ch16(6) PivotChart(1)" sheetId="32" r:id="rId17"/>
    <sheet name="Ch16(7) PivotChart(2)" sheetId="53" r:id="rId18"/>
    <sheet name="London Chart" sheetId="74" r:id="rId19"/>
    <sheet name="Ch16(8) Sort" sheetId="21" r:id="rId20"/>
    <sheet name="Ch16(9) Conditional" sheetId="7" r:id="rId21"/>
    <sheet name="Ch16(10) Subtotal" sheetId="28" r:id="rId22"/>
    <sheet name="Ch16(11) Filter" sheetId="40" r:id="rId23"/>
    <sheet name="Ch16(12) Lookup" sheetId="39" r:id="rId24"/>
    <sheet name="Ch16(13) Pivot(1)" sheetId="23" r:id="rId25"/>
    <sheet name="Ch16(14) Pivot(2)" sheetId="41" r:id="rId26"/>
    <sheet name="Ch16(15) Goalseek" sheetId="42" r:id="rId27"/>
    <sheet name="Ch16(16) Validation" sheetId="50" r:id="rId28"/>
    <sheet name="Ch16(17) Duplicates" sheetId="30" r:id="rId29"/>
    <sheet name="Ch17(1) Cost Card" sheetId="67" r:id="rId30"/>
    <sheet name="Ch17(2) Budgets" sheetId="69" r:id="rId31"/>
    <sheet name="Ch17(3) Operating statement" sheetId="78" r:id="rId32"/>
    <sheet name="CH17(4) Absorption" sheetId="79" r:id="rId33"/>
    <sheet name="CH17(4) Short term decision" sheetId="80" r:id="rId34"/>
    <sheet name="Ch17(6) Cash budget" sheetId="81" r:id="rId35"/>
    <sheet name="SUP(1) Import data" sheetId="33" r:id="rId36"/>
    <sheet name="SUP(2) Formatting" sheetId="55" r:id="rId37"/>
    <sheet name="SUP(4) Numbers(1)" sheetId="1" r:id="rId38"/>
    <sheet name="SUP(5) Numbers(2)" sheetId="2" r:id="rId39"/>
    <sheet name="SUP(6) Numbers(3)" sheetId="26" r:id="rId40"/>
    <sheet name="SUP(7) Headers" sheetId="27" r:id="rId41"/>
  </sheets>
  <definedNames>
    <definedName name="_xlnm._FilterDatabase" localSheetId="22" hidden="1">'Ch16(11) Filter'!$A$6:$E$27</definedName>
    <definedName name="ExternalData_1" localSheetId="35" hidden="1">'SUP(1) Import data'!$B$5:$C$8</definedName>
    <definedName name="Scores">'Ch16(12) Lookup'!$B$8:$D$21</definedName>
    <definedName name="SDST_Data_Import" localSheetId="35">'SUP(1) Import data'!#REF!</definedName>
    <definedName name="SDST_Data_Import_1" localSheetId="35">'SUP(1) Import data'!#REF!</definedName>
  </definedNames>
  <calcPr calcId="191029"/>
  <customWorkbookViews>
    <customWorkbookView name="Crystal Fry - Personal View" guid="{28759D3D-4935-4F4F-B5FE-C8D459AA4B3D}" mergeInterval="0" personalView="1" maximized="1" windowWidth="1362" windowHeight="543" activeSheetId="9"/>
  </customWorkbookViews>
  <pivotCaches>
    <pivotCache cacheId="5" r:id="rId42"/>
    <pivotCache cacheId="6" r:id="rId43"/>
    <pivotCache cacheId="7" r:id="rId44"/>
    <pivotCache cacheId="8" r:id="rId4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78" l="1"/>
  <c r="F21" i="79"/>
  <c r="D27" i="78"/>
  <c r="C36" i="67" l="1"/>
  <c r="F20" i="81" l="1"/>
  <c r="E20" i="81"/>
  <c r="D20" i="81"/>
  <c r="F18" i="81"/>
  <c r="E18" i="81"/>
  <c r="D18" i="81"/>
  <c r="F16" i="81"/>
  <c r="F22" i="81" s="1"/>
  <c r="E16" i="81"/>
  <c r="E22" i="81" s="1"/>
  <c r="D16" i="81"/>
  <c r="D22" i="81" s="1"/>
  <c r="B26" i="80"/>
  <c r="B25" i="80"/>
  <c r="B24" i="80"/>
  <c r="B23" i="80"/>
  <c r="B20" i="80"/>
  <c r="B21" i="80" s="1"/>
  <c r="B22" i="80" s="1"/>
  <c r="B16" i="80"/>
  <c r="B18" i="80" s="1"/>
  <c r="B19" i="80"/>
  <c r="B17" i="80"/>
  <c r="E23" i="79"/>
  <c r="F23" i="79"/>
  <c r="D23" i="79"/>
  <c r="E21" i="79"/>
  <c r="D21" i="79"/>
  <c r="F20" i="79"/>
  <c r="E20" i="79"/>
  <c r="D20" i="79"/>
  <c r="D19" i="79"/>
  <c r="F22" i="79"/>
  <c r="F17" i="79"/>
  <c r="E17" i="79"/>
  <c r="D17" i="79"/>
  <c r="C26" i="78"/>
  <c r="B26" i="78"/>
  <c r="C6" i="44" l="1"/>
  <c r="C7" i="44"/>
  <c r="C8" i="44"/>
  <c r="C9" i="44"/>
  <c r="C10" i="44"/>
  <c r="D33" i="39" l="1"/>
  <c r="E33" i="39"/>
  <c r="C33" i="39"/>
  <c r="J9" i="39"/>
  <c r="J10" i="39"/>
  <c r="J8" i="39"/>
  <c r="I10" i="39"/>
  <c r="I9" i="39"/>
  <c r="I8" i="39"/>
  <c r="E20" i="40" l="1"/>
  <c r="D20" i="40"/>
  <c r="E13" i="40"/>
  <c r="E21" i="40" s="1"/>
  <c r="D13" i="40"/>
  <c r="D21" i="40" s="1"/>
  <c r="C31" i="28" l="1"/>
  <c r="C27" i="28"/>
  <c r="C32" i="28" s="1"/>
  <c r="D15" i="28"/>
  <c r="C15" i="28"/>
  <c r="D13" i="28"/>
  <c r="C13" i="28"/>
  <c r="D11" i="28"/>
  <c r="C11" i="28"/>
  <c r="D7" i="28"/>
  <c r="C7" i="28"/>
  <c r="B12" i="37"/>
  <c r="D12" i="36"/>
  <c r="D10" i="36"/>
  <c r="D3" i="36"/>
  <c r="C7" i="16"/>
  <c r="C8" i="16"/>
  <c r="C9" i="16"/>
  <c r="C10" i="16"/>
  <c r="C11" i="16"/>
  <c r="C12" i="16"/>
  <c r="C13" i="16"/>
  <c r="C14" i="16"/>
  <c r="C15" i="16"/>
  <c r="C6" i="16"/>
  <c r="C14" i="20"/>
  <c r="D14" i="20"/>
  <c r="E14" i="20"/>
  <c r="F14" i="20"/>
  <c r="G14" i="20"/>
  <c r="B14" i="20"/>
  <c r="C12" i="20"/>
  <c r="D12" i="20"/>
  <c r="E12" i="20"/>
  <c r="F12" i="20"/>
  <c r="G12" i="20"/>
  <c r="B12" i="20"/>
  <c r="B13" i="54"/>
  <c r="B9" i="54"/>
  <c r="B5" i="54"/>
  <c r="C5" i="35"/>
  <c r="C13" i="3"/>
  <c r="G12" i="34"/>
  <c r="H12" i="34"/>
  <c r="F12" i="34"/>
  <c r="G11" i="34"/>
  <c r="H11" i="34"/>
  <c r="F11" i="34"/>
  <c r="G10" i="34"/>
  <c r="H10" i="34"/>
  <c r="F10" i="34"/>
  <c r="C10" i="19"/>
  <c r="C9" i="19"/>
  <c r="C8" i="19"/>
  <c r="C7" i="19"/>
  <c r="C6" i="19"/>
  <c r="C16" i="28" l="1"/>
  <c r="D16" i="28"/>
  <c r="C14" i="69" l="1"/>
  <c r="E14" i="69"/>
  <c r="D13" i="69"/>
  <c r="F13" i="69" s="1"/>
  <c r="K17" i="69"/>
  <c r="D11" i="69" s="1"/>
  <c r="F11" i="69" s="1"/>
  <c r="D12" i="69" l="1"/>
  <c r="F12" i="69" s="1"/>
  <c r="D7" i="69"/>
  <c r="D9" i="69"/>
  <c r="F9" i="69" s="1"/>
  <c r="D10" i="69"/>
  <c r="F10" i="69" s="1"/>
  <c r="D14" i="69" l="1"/>
  <c r="F7" i="69"/>
  <c r="F14" i="69" s="1"/>
  <c r="C43" i="67"/>
  <c r="E30" i="67"/>
  <c r="E24" i="67"/>
  <c r="C42" i="67" s="1"/>
  <c r="E21" i="67"/>
  <c r="E20" i="67"/>
  <c r="G14" i="69" l="1"/>
  <c r="C41" i="67"/>
  <c r="C45" i="67" s="1"/>
  <c r="E26" i="67"/>
  <c r="E32" i="67" s="1"/>
  <c r="G18" i="55" l="1"/>
  <c r="F18" i="55"/>
  <c r="E18" i="55"/>
  <c r="D18" i="55"/>
  <c r="H18" i="55" l="1"/>
  <c r="I3" i="18"/>
  <c r="J3" i="18" s="1"/>
  <c r="I4" i="18"/>
  <c r="J4" i="18" s="1"/>
  <c r="I5" i="18"/>
  <c r="J5" i="18" s="1"/>
  <c r="I2" i="18"/>
  <c r="J2" i="18" s="1"/>
  <c r="C14" i="25" l="1"/>
  <c r="D14" i="25"/>
  <c r="E14" i="25"/>
  <c r="F14" i="25"/>
  <c r="G14" i="25"/>
  <c r="C15" i="25"/>
  <c r="D15" i="25"/>
  <c r="E15" i="25"/>
  <c r="F15" i="25"/>
  <c r="G15" i="25"/>
  <c r="C16" i="25"/>
  <c r="D16" i="25"/>
  <c r="E16" i="25"/>
  <c r="F16" i="25"/>
  <c r="G16" i="25"/>
  <c r="C17" i="25"/>
  <c r="D17" i="25"/>
  <c r="E17" i="25"/>
  <c r="F17" i="25"/>
  <c r="G17" i="25"/>
  <c r="C18" i="25"/>
  <c r="D18" i="25"/>
  <c r="E18" i="25"/>
  <c r="F18" i="25"/>
  <c r="G18" i="25"/>
  <c r="C19" i="25"/>
  <c r="D19" i="25"/>
  <c r="E19" i="25"/>
  <c r="F19" i="25"/>
  <c r="G19" i="25"/>
  <c r="B15" i="25"/>
  <c r="B16" i="25"/>
  <c r="B17" i="25"/>
  <c r="B18" i="25"/>
  <c r="B19" i="25"/>
  <c r="B14" i="25"/>
  <c r="B9" i="45" l="1"/>
  <c r="C11" i="44" s="1"/>
  <c r="B11" i="44"/>
  <c r="B15" i="42"/>
  <c r="E13" i="34"/>
  <c r="D13" i="34"/>
  <c r="C13" i="34"/>
  <c r="B13" i="34"/>
  <c r="F13" i="34" l="1"/>
  <c r="F15" i="34" s="1"/>
  <c r="G13" i="34"/>
  <c r="G15" i="34" s="1"/>
  <c r="H13" i="34"/>
  <c r="H15" i="3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Data_Import" description="Connection to the 'Data_Import' query in the workbook." type="5" refreshedVersion="6" background="1">
    <dbPr connection="Provider=Microsoft.Mashup.OleDb.1;Data Source=$Workbook$;Location=Data_Import;Extended Properties=&quot;&quot;" command="SELECT * FROM [Data_Import]"/>
  </connection>
  <connection id="2" xr16:uid="{00000000-0015-0000-FFFF-FFFF01000000}" keepAlive="1" name="Query - Data_Import (2)" description="Connection to the 'Data_Import (2)' query in the workbook." type="5" refreshedVersion="6" background="1">
    <dbPr connection="Provider=Microsoft.Mashup.OleDb.1;Data Source=$Workbook$;Location=Data_Import (2);Extended Properties=&quot;&quot;" command="SELECT * FROM [Data_Import (2)]"/>
  </connection>
  <connection id="3" xr16:uid="{00000000-0015-0000-FFFF-FFFF02000000}" keepAlive="1" name="Query - Data_Import (3)" description="Connection to the 'Data_Import (3)' query in the workbook." type="5" refreshedVersion="6" background="1" saveData="1">
    <dbPr connection="Provider=Microsoft.Mashup.OleDb.1;Data Source=$Workbook$;Location=Data_Import (3);Extended Properties=&quot;&quot;" command="SELECT * FROM [Data_Import (3)]"/>
  </connection>
  <connection id="4" xr16:uid="{00000000-0015-0000-FFFF-FFFF03000000}" name="SDST_Data_Import" type="6" refreshedVersion="4" background="1" saveData="1">
    <textPr codePage="850" sourceFile="C:\Users\peter\Documents\1 Course Materials\AAT\Spreadsheets\AQ16\Tuition spreadsheets - play\SDST_Data_Import.txt">
      <textFields count="2">
        <textField/>
        <textField/>
      </textFields>
    </textPr>
  </connection>
  <connection id="5" xr16:uid="{00000000-0015-0000-FFFF-FFFF04000000}" name="SDST_Data_Import1" type="6" refreshedVersion="4" background="1">
    <textPr codePage="850" sourceFile="C:\Users\crystal.haygreen\Desktop\SDST_Data_Import.txt" delimited="0">
      <textFields>
        <textField/>
      </textFields>
    </textPr>
  </connection>
</connections>
</file>

<file path=xl/sharedStrings.xml><?xml version="1.0" encoding="utf-8"?>
<sst xmlns="http://schemas.openxmlformats.org/spreadsheetml/2006/main" count="898" uniqueCount="420">
  <si>
    <t>Format the following figures to show them as percentages to one decimal place</t>
  </si>
  <si>
    <t>Phone Bill</t>
  </si>
  <si>
    <t>TV licence</t>
  </si>
  <si>
    <t>Council Tax</t>
  </si>
  <si>
    <t>Newspapers</t>
  </si>
  <si>
    <t>Electricity</t>
  </si>
  <si>
    <t>Petrol</t>
  </si>
  <si>
    <t>Monthly outgoings</t>
  </si>
  <si>
    <t>Show the total to 2 decimal places and in '£' currency</t>
  </si>
  <si>
    <t>Total</t>
  </si>
  <si>
    <t>Birmingham</t>
  </si>
  <si>
    <t>Cambridge</t>
  </si>
  <si>
    <t>Nottingham</t>
  </si>
  <si>
    <t>Southampton</t>
  </si>
  <si>
    <t>Leeds</t>
  </si>
  <si>
    <t>Sum the following numbers using autosum, and show the total, applying the accounting double underline.</t>
  </si>
  <si>
    <t>Tasks to complete</t>
  </si>
  <si>
    <t>Now show them with the 1000 separator and in '£' currency.</t>
  </si>
  <si>
    <t>Format the numbers below to 2 decimal places</t>
  </si>
  <si>
    <t>Answer</t>
  </si>
  <si>
    <t>You can add, subtract, multiply or divide.</t>
  </si>
  <si>
    <t>Write a formula in column C so the answer is 4 using the data in Column A and B</t>
  </si>
  <si>
    <t>Maximum score</t>
  </si>
  <si>
    <t>Average</t>
  </si>
  <si>
    <t>English</t>
  </si>
  <si>
    <t>Maths</t>
  </si>
  <si>
    <t>Tina</t>
  </si>
  <si>
    <t>Jackie</t>
  </si>
  <si>
    <t>Bart</t>
  </si>
  <si>
    <t>Theresa</t>
  </si>
  <si>
    <t>Carmel</t>
  </si>
  <si>
    <t>Mercedes</t>
  </si>
  <si>
    <t>Show the maximum mark per student in row 14</t>
  </si>
  <si>
    <t>Show the average marks per student in row 12</t>
  </si>
  <si>
    <t>Nicole</t>
  </si>
  <si>
    <t>Barry</t>
  </si>
  <si>
    <t>Ben</t>
  </si>
  <si>
    <t>Geoff</t>
  </si>
  <si>
    <t>Dave</t>
  </si>
  <si>
    <t>Sonia</t>
  </si>
  <si>
    <t>Alista</t>
  </si>
  <si>
    <t>Raj</t>
  </si>
  <si>
    <t>Date of Birth</t>
  </si>
  <si>
    <t>Salary</t>
  </si>
  <si>
    <t>Age</t>
  </si>
  <si>
    <t>Name</t>
  </si>
  <si>
    <t>Ensure the ages, salary and date of birth remain next to the respective person</t>
  </si>
  <si>
    <t>i.e. Cell D8 should read '02 December 1965'</t>
  </si>
  <si>
    <t>Change the Date format in Column D to be written in full</t>
  </si>
  <si>
    <t>Raquet</t>
  </si>
  <si>
    <t>Bat</t>
  </si>
  <si>
    <t>Net</t>
  </si>
  <si>
    <t>Ball</t>
  </si>
  <si>
    <t>Quantity</t>
  </si>
  <si>
    <t>Price</t>
  </si>
  <si>
    <t>Item</t>
  </si>
  <si>
    <t>Monday</t>
  </si>
  <si>
    <t>Tuesday</t>
  </si>
  <si>
    <t>Wednesday</t>
  </si>
  <si>
    <t>Thursday</t>
  </si>
  <si>
    <t>Friday</t>
  </si>
  <si>
    <t>Saturday</t>
  </si>
  <si>
    <t>Sunday</t>
  </si>
  <si>
    <t>Week 1</t>
  </si>
  <si>
    <t>Week 2</t>
  </si>
  <si>
    <t>Week 3</t>
  </si>
  <si>
    <t>Week 4</t>
  </si>
  <si>
    <t>Total the sales for each week</t>
  </si>
  <si>
    <t>Show the following in the second table, in cells B14-G19</t>
  </si>
  <si>
    <t>Month</t>
  </si>
  <si>
    <t>Sales £m</t>
  </si>
  <si>
    <t>Calculate a 3 month moving average for the 12 months sales below.</t>
  </si>
  <si>
    <t>Hint you may need to use =AVERAGE and use a 3 month moving average starting in cell C6</t>
  </si>
  <si>
    <t>The pass mark is 51, using the 'if' formula show 'Pass' if the score is over 50 and 'Fail' if the score is 50 or below</t>
  </si>
  <si>
    <t xml:space="preserve">Format the following figure as folllows: </t>
  </si>
  <si>
    <t>to have 1000 separator</t>
  </si>
  <si>
    <t>to be red and shown in brackets (as it is negative)</t>
  </si>
  <si>
    <t>to show 2 decimal places</t>
  </si>
  <si>
    <t>Add a central header to this worksheet showing the worksheet name</t>
  </si>
  <si>
    <t>Filename in the middle footer, and</t>
  </si>
  <si>
    <t>Page number and number of pages in left footer,</t>
  </si>
  <si>
    <t>Date and time in the right footer</t>
  </si>
  <si>
    <t>Add a footer to this worksheet, showing:</t>
  </si>
  <si>
    <t>Average weekly expenses:</t>
  </si>
  <si>
    <t>Profit</t>
  </si>
  <si>
    <t>Using your total weekly figures and the average weekly expenses figure and insert formlas into column J to show  the profit for each week.</t>
  </si>
  <si>
    <t>Show the formulas and take a screen print of your work and paste into your spreadsheet.</t>
  </si>
  <si>
    <t>Location</t>
  </si>
  <si>
    <t>Online</t>
  </si>
  <si>
    <t>Shop</t>
  </si>
  <si>
    <t>Scooter</t>
  </si>
  <si>
    <t>Skateboard</t>
  </si>
  <si>
    <t>Wetsuit</t>
  </si>
  <si>
    <t>Trainers</t>
  </si>
  <si>
    <t>Brighton</t>
  </si>
  <si>
    <t>Worthing</t>
  </si>
  <si>
    <t>Subtotal each item using the 'Sum' fuction for both price and quantity</t>
  </si>
  <si>
    <t>Product</t>
  </si>
  <si>
    <t>Jan</t>
  </si>
  <si>
    <t>Feb</t>
  </si>
  <si>
    <t>Product 1</t>
  </si>
  <si>
    <t>Product 2</t>
  </si>
  <si>
    <t>Product 3</t>
  </si>
  <si>
    <t>Product 4</t>
  </si>
  <si>
    <t>Product 5</t>
  </si>
  <si>
    <t>Find the duplicate data and decide what should be removed</t>
  </si>
  <si>
    <t>Mar</t>
  </si>
  <si>
    <t>No. of students</t>
  </si>
  <si>
    <t>Using the DESIGN tab and FORMAT tab, do the following:</t>
  </si>
  <si>
    <t>Task</t>
  </si>
  <si>
    <t>Import data</t>
  </si>
  <si>
    <t>Sales</t>
  </si>
  <si>
    <t>Absolute Cell Ref</t>
  </si>
  <si>
    <t>a) Calculate the % scores for Pete in column F (using absolute cell references) and copy the formulae across to calculate Sam and Tim's scores</t>
  </si>
  <si>
    <t>Bonus multiplier</t>
  </si>
  <si>
    <t>Marks</t>
  </si>
  <si>
    <t>Perentage Score</t>
  </si>
  <si>
    <t>Test</t>
  </si>
  <si>
    <t>Max Score</t>
  </si>
  <si>
    <t>Pete</t>
  </si>
  <si>
    <t>Sam</t>
  </si>
  <si>
    <t>Tim</t>
  </si>
  <si>
    <t>Bonus</t>
  </si>
  <si>
    <t>Date and time</t>
  </si>
  <si>
    <t>Count &amp; Countif</t>
  </si>
  <si>
    <t>Ham</t>
  </si>
  <si>
    <t>How many instances of Ham?</t>
  </si>
  <si>
    <t>Eggs</t>
  </si>
  <si>
    <t>How many scores &gt; 70?</t>
  </si>
  <si>
    <t>How many cells with numbers in column A?</t>
  </si>
  <si>
    <t>Forecast</t>
  </si>
  <si>
    <t>Forecast the total cost if we produce 40 units of output (in cell B12)</t>
  </si>
  <si>
    <t>Output (units)</t>
  </si>
  <si>
    <t>Total Cost (£)</t>
  </si>
  <si>
    <t>Shorts</t>
  </si>
  <si>
    <t>Red</t>
  </si>
  <si>
    <t>Blue</t>
  </si>
  <si>
    <t>Green</t>
  </si>
  <si>
    <t>May</t>
  </si>
  <si>
    <t>Vlookup &amp; Hlookup</t>
  </si>
  <si>
    <t>Use vlookup formulae in column I to lookup the scores of Jessica, Jay and Vishal. Then in column J, perform the same task, but using a named range (call B7:D21 'Scores')</t>
  </si>
  <si>
    <t>Student scores</t>
  </si>
  <si>
    <t>Student</t>
  </si>
  <si>
    <t>Study Centre</t>
  </si>
  <si>
    <t>Score</t>
  </si>
  <si>
    <t>London</t>
  </si>
  <si>
    <t>Jessica</t>
  </si>
  <si>
    <t>Reading</t>
  </si>
  <si>
    <t>Jay</t>
  </si>
  <si>
    <t>Sarah</t>
  </si>
  <si>
    <t>Vishal</t>
  </si>
  <si>
    <t>Alex</t>
  </si>
  <si>
    <t>Alice</t>
  </si>
  <si>
    <t>Saqib</t>
  </si>
  <si>
    <t>Joan</t>
  </si>
  <si>
    <t>Hugh</t>
  </si>
  <si>
    <t>Steve</t>
  </si>
  <si>
    <t>Pat</t>
  </si>
  <si>
    <t>Neesha</t>
  </si>
  <si>
    <t>Use hlookup formulae in row 33 to lookup the scores of Jessica, Jay and Vishal</t>
  </si>
  <si>
    <t>Product colour</t>
  </si>
  <si>
    <t>Sales Units</t>
  </si>
  <si>
    <t>Sales Revenue</t>
  </si>
  <si>
    <t>T-shirts</t>
  </si>
  <si>
    <t>Yellow</t>
  </si>
  <si>
    <t>Black</t>
  </si>
  <si>
    <t>White</t>
  </si>
  <si>
    <t>Caps</t>
  </si>
  <si>
    <t>Days</t>
  </si>
  <si>
    <t>April</t>
  </si>
  <si>
    <t>January</t>
  </si>
  <si>
    <t>March</t>
  </si>
  <si>
    <t>February</t>
  </si>
  <si>
    <t>July</t>
  </si>
  <si>
    <t>June</t>
  </si>
  <si>
    <t>October</t>
  </si>
  <si>
    <t>December</t>
  </si>
  <si>
    <t>November</t>
  </si>
  <si>
    <t>September</t>
  </si>
  <si>
    <t>August</t>
  </si>
  <si>
    <t>Pivot table</t>
  </si>
  <si>
    <t>Use a pivot table to summarise the total sales revenue by shop and product (shop as the rows and product as the columns)</t>
  </si>
  <si>
    <t>Bristol</t>
  </si>
  <si>
    <t>Manchester</t>
  </si>
  <si>
    <t>Goal Seek</t>
  </si>
  <si>
    <t>Week</t>
  </si>
  <si>
    <t>Links</t>
  </si>
  <si>
    <t>Budget</t>
  </si>
  <si>
    <t>Actuals</t>
  </si>
  <si>
    <t>Materials cost</t>
  </si>
  <si>
    <t>Labour cost</t>
  </si>
  <si>
    <t>Variable overheads</t>
  </si>
  <si>
    <t>Fixed overheads</t>
  </si>
  <si>
    <t>Validate</t>
  </si>
  <si>
    <t>Use data validation to restrict the entries in cell B5 to be 'Beef' or 'Vegetarian' and the entries in cell B6 to be 'Chocolate cake' or 'Carrot cake'</t>
  </si>
  <si>
    <t>Main Course</t>
  </si>
  <si>
    <t>Dessert</t>
  </si>
  <si>
    <t>Summarise the following data in a 2-D line chart</t>
  </si>
  <si>
    <t>Label the horizontal axis 'Month' and the vertical axis 'Revenue'</t>
  </si>
  <si>
    <t>Colour the column for the month with the highest revenue green and the month with the lowest revenue red</t>
  </si>
  <si>
    <t>Add a trendline to the column chart</t>
  </si>
  <si>
    <t>Pivot chart</t>
  </si>
  <si>
    <t>Create a pivot chart to:</t>
  </si>
  <si>
    <t>Show an exploded pie chart</t>
  </si>
  <si>
    <t>Show the segment for t-shirts on the right of the chart</t>
  </si>
  <si>
    <t>Colour the t-shirt segment yellow</t>
  </si>
  <si>
    <t>Add data labels to the middle of each segment showing the percentage of the total revenue</t>
  </si>
  <si>
    <t>Give the chart the title 'London Revenue'</t>
  </si>
  <si>
    <t>Position the legend at the bottom of the chart</t>
  </si>
  <si>
    <t>Name the worksheet 'London Chart'</t>
  </si>
  <si>
    <t>Use the NOW function to enter today's date and time in cell C5</t>
  </si>
  <si>
    <t>Rounding</t>
  </si>
  <si>
    <t>Use a ROUND formula in cell B5 to round the number in A5 to 2 decimal places</t>
  </si>
  <si>
    <t>Use a ROUNDUP formula in cell B9 to round the number in A9 to 1 decimal place</t>
  </si>
  <si>
    <t>Use a ROUNDDOWN formula in cell B13 to round the number in A13 to a whole number</t>
  </si>
  <si>
    <t>Formatting</t>
  </si>
  <si>
    <t>One of your colleagues has produced the following partnership appropriation statement.</t>
  </si>
  <si>
    <t xml:space="preserve"> </t>
  </si>
  <si>
    <t>Partnership appropriation statement for the year ended 31 December 2018</t>
  </si>
  <si>
    <t>Alison</t>
  </si>
  <si>
    <t>Annabelle</t>
  </si>
  <si>
    <t>Steven</t>
  </si>
  <si>
    <t>Betsy</t>
  </si>
  <si>
    <t>Profit for the year</t>
  </si>
  <si>
    <t>Residual profit</t>
  </si>
  <si>
    <t>Profit share</t>
  </si>
  <si>
    <t>Import the data from the text file 'Data_Import.txt' into the cells starting B5</t>
  </si>
  <si>
    <t>Science</t>
  </si>
  <si>
    <t>History</t>
  </si>
  <si>
    <t>Geography</t>
  </si>
  <si>
    <t>Art</t>
  </si>
  <si>
    <t>Create a pivot table showing the item and quantity in the fields to report on. You should be able to identify the grand total of items sold.</t>
  </si>
  <si>
    <t>Row Labels</t>
  </si>
  <si>
    <t>Grand Total</t>
  </si>
  <si>
    <t>Sum of Quantity</t>
  </si>
  <si>
    <t>Use data validation to restrict entries below to numbers less than or equal to 50. Circle the numbers outside of this range.</t>
  </si>
  <si>
    <t>Add the chart title 'Student Numbers' above the chart.</t>
  </si>
  <si>
    <t>Show the following data as a 3-D clustered column chart.</t>
  </si>
  <si>
    <t>Format the legend to sit at the top below the chart title.</t>
  </si>
  <si>
    <t>Label the axis 'Centres' horizontally.</t>
  </si>
  <si>
    <t>Resize the chart to show increments of 10 on the vertical axis.</t>
  </si>
  <si>
    <t>Change the chart type to a 3-D stacked bar chart.</t>
  </si>
  <si>
    <t>Move the chart to a new spreadsheet.</t>
  </si>
  <si>
    <t>Charts example 2</t>
  </si>
  <si>
    <t>Task 1) Use conditional formatting so that every time the word 'Tax' appears, the cell is shaded green.</t>
  </si>
  <si>
    <t>Task 2) Use conditional formatting to find the two largest values in column B and shade the cells yellow.</t>
  </si>
  <si>
    <t>Tax</t>
  </si>
  <si>
    <t>Accounts</t>
  </si>
  <si>
    <t>Apr</t>
  </si>
  <si>
    <t>Jun</t>
  </si>
  <si>
    <t>Jul</t>
  </si>
  <si>
    <t>Aug</t>
  </si>
  <si>
    <t>Sep</t>
  </si>
  <si>
    <t>Oct</t>
  </si>
  <si>
    <t>Nov</t>
  </si>
  <si>
    <t>Dec</t>
  </si>
  <si>
    <t>Audit</t>
  </si>
  <si>
    <t>The calculations are correct but it looks a bit of a mess! Can you use formatting to make it look more professional?</t>
  </si>
  <si>
    <t>1) Change the font to Calibri Size 11</t>
  </si>
  <si>
    <t>2) Underline the column headings</t>
  </si>
  <si>
    <t>3) Change any italics back to standard text</t>
  </si>
  <si>
    <t>4) Merge the title into one cell across the top of the data. Wrap the text to ensure it is all visible. Make the font bold and red.</t>
  </si>
  <si>
    <t>Cost of sales</t>
  </si>
  <si>
    <t>Totals</t>
  </si>
  <si>
    <t>Colly Ltd sells a product B199 for £30,000 each</t>
  </si>
  <si>
    <t>The following cost information has been obtained for making one product B199</t>
  </si>
  <si>
    <t xml:space="preserve">Labour hours required </t>
  </si>
  <si>
    <t>Wages cost per hour</t>
  </si>
  <si>
    <t>KG of material A</t>
  </si>
  <si>
    <t>Cost of material A per KG</t>
  </si>
  <si>
    <t>KG of material B</t>
  </si>
  <si>
    <t>Cost of material B per KG</t>
  </si>
  <si>
    <t>£24 per unit</t>
  </si>
  <si>
    <t>£10 per labour hour</t>
  </si>
  <si>
    <t>Budgets</t>
  </si>
  <si>
    <t>Actual</t>
  </si>
  <si>
    <t>Materials</t>
  </si>
  <si>
    <t>Labour</t>
  </si>
  <si>
    <t>Consumables</t>
  </si>
  <si>
    <t>Energy</t>
  </si>
  <si>
    <t>All costs are variable apart from Insurance which is fixed.</t>
  </si>
  <si>
    <t>The budget was prepared based on 10,000 units of production. Actual units produced was 12,000.</t>
  </si>
  <si>
    <t>Cost Card</t>
  </si>
  <si>
    <t xml:space="preserve">1. Prepare a cost card to show the total cost of producing one unit. </t>
  </si>
  <si>
    <t>COST CARD FOR ONE B199 UNIT</t>
  </si>
  <si>
    <t>£</t>
  </si>
  <si>
    <t>Direct Materials</t>
  </si>
  <si>
    <t>Material A 700KG @ £18/KG</t>
  </si>
  <si>
    <t>Material B 200KG @ £40/KG</t>
  </si>
  <si>
    <t>Direct Labour</t>
  </si>
  <si>
    <t>12 hours @ £8/hour</t>
  </si>
  <si>
    <t>Prime Cost</t>
  </si>
  <si>
    <t>Indirect Costs</t>
  </si>
  <si>
    <t xml:space="preserve">Variable overheads </t>
  </si>
  <si>
    <t>Total production cost</t>
  </si>
  <si>
    <t>Units of B199</t>
  </si>
  <si>
    <t>Working 1 - Contribution per unit</t>
  </si>
  <si>
    <t>Sales price</t>
  </si>
  <si>
    <t>Less:</t>
  </si>
  <si>
    <t>2. Total fixed overheads are expected to be £350,000 for a year. How many units of B199 need to be sold to break even?</t>
  </si>
  <si>
    <t>Insurance</t>
  </si>
  <si>
    <t>1) You have been presented with the following data.</t>
  </si>
  <si>
    <t>Expenses:</t>
  </si>
  <si>
    <t>3) In column F, calculate the variances showing favourable variances as positive numbers and adverse variances as negative numbers.</t>
  </si>
  <si>
    <t>1) In cell K17, calculate the percentage by which you will need to flex the budget.</t>
  </si>
  <si>
    <t xml:space="preserve">2) In column D, prepare a flexed budget using absolute cell referencing to pick up the percentage in K17 where applicable. </t>
  </si>
  <si>
    <t xml:space="preserve">This should read "Agreed" if they match and "Check" if they do not. </t>
  </si>
  <si>
    <t>Flexed Budget</t>
  </si>
  <si>
    <t>Variances</t>
  </si>
  <si>
    <t>Contribution</t>
  </si>
  <si>
    <t>Column1</t>
  </si>
  <si>
    <t>Column2</t>
  </si>
  <si>
    <t>Other expenditure</t>
  </si>
  <si>
    <t>b) Each member of staff gets a bonus = their overall % score x £100. Calculate their bonuses in row 15, referencing cell L6 and using absolute cell refs.</t>
  </si>
  <si>
    <t>Sort the following into alphabetical order by name</t>
  </si>
  <si>
    <t>Scooter Total</t>
  </si>
  <si>
    <t>Skateboard Total</t>
  </si>
  <si>
    <t>Trainers Total</t>
  </si>
  <si>
    <t>Wetsuit Total</t>
  </si>
  <si>
    <t>Now show the average price of all goods sold in Brighton and the average price of all goods sold in Worthing.</t>
  </si>
  <si>
    <t>Brighton Average</t>
  </si>
  <si>
    <t>Worthing Average</t>
  </si>
  <si>
    <t>Grand Average</t>
  </si>
  <si>
    <t>Filter, Subtotal and Sort</t>
  </si>
  <si>
    <t xml:space="preserve">Filter the following data to show the top 5 rows by units sold. </t>
  </si>
  <si>
    <t xml:space="preserve">Then subtotal the filtered data to show units and revenue by product. </t>
  </si>
  <si>
    <t>Use a custom sort to sort the following data in ascending date order.</t>
  </si>
  <si>
    <t>T-shirts Total</t>
  </si>
  <si>
    <t>Shorts Total</t>
  </si>
  <si>
    <t>Sum of Sales Revenue</t>
  </si>
  <si>
    <t>Column Labels</t>
  </si>
  <si>
    <t>Calculate how many units need to be sold in week 8 (cell B13) in order to achieve total sales units of 550 (cell B15)</t>
  </si>
  <si>
    <t>5) In cells C14 to E14 calculate profit. Then total the variances in cell F14.</t>
  </si>
  <si>
    <t xml:space="preserve">6) In cell G14, use an IF statement to compare the total in cell F14 with the difference between D14 and E14. </t>
  </si>
  <si>
    <t xml:space="preserve">4) Use conditional formatting in column F to show adverse variances in red text. </t>
  </si>
  <si>
    <t>(Please see next sheet "Chart1" for answer)</t>
  </si>
  <si>
    <t>Then copy the chart and change the chart type to a 2-D column chart (which only looks at the Bristol data)</t>
  </si>
  <si>
    <t xml:space="preserve">Create a pivot chart showing the item and quantity in the fields to report on. </t>
  </si>
  <si>
    <t>In a new worksheet use a pivot table to summarise the total sales revenue for just the London shop by product</t>
  </si>
  <si>
    <t>(See next tab "London Chart" for answer)</t>
  </si>
  <si>
    <t>You have been provided with the following budget:</t>
  </si>
  <si>
    <t xml:space="preserve">Flexed </t>
  </si>
  <si>
    <t xml:space="preserve">Actual </t>
  </si>
  <si>
    <t>Variance</t>
  </si>
  <si>
    <t>F/(A)</t>
  </si>
  <si>
    <t>budget</t>
  </si>
  <si>
    <t>results</t>
  </si>
  <si>
    <t>Volume</t>
  </si>
  <si>
    <t>Sales revenue</t>
  </si>
  <si>
    <t>(A)</t>
  </si>
  <si>
    <t>Less: costs</t>
  </si>
  <si>
    <t>F</t>
  </si>
  <si>
    <t>Budget profit</t>
  </si>
  <si>
    <t>£(F)</t>
  </si>
  <si>
    <t>£(A)</t>
  </si>
  <si>
    <t>Actual profit</t>
  </si>
  <si>
    <t>Complete the operating statement below using formulae as appropriate:</t>
  </si>
  <si>
    <t>A company has three departments: Polishing, Packaging and the Canteen. The following overhead costs are incurred one year:</t>
  </si>
  <si>
    <t>Factory rent</t>
  </si>
  <si>
    <t>Salary of the Polishing department supervisor</t>
  </si>
  <si>
    <t>Power to run machinery</t>
  </si>
  <si>
    <t>Insurance of inventory</t>
  </si>
  <si>
    <t>Canteen food costs</t>
  </si>
  <si>
    <t>The following other information is available:</t>
  </si>
  <si>
    <t>Polishing</t>
  </si>
  <si>
    <t>Packaging</t>
  </si>
  <si>
    <t>Canteen</t>
  </si>
  <si>
    <t>Floor space (sq. m)</t>
  </si>
  <si>
    <t>Electricity usage (KwH)</t>
  </si>
  <si>
    <t>Value of inventory</t>
  </si>
  <si>
    <t>Allocate and apportion the overhead costs to each of the three departments.</t>
  </si>
  <si>
    <t>Overhead</t>
  </si>
  <si>
    <t>Basis of allocation or apportionment</t>
  </si>
  <si>
    <t>Apportion</t>
  </si>
  <si>
    <t>- floor space</t>
  </si>
  <si>
    <t>Salary of Polishing dept. supervisor</t>
  </si>
  <si>
    <t>Allocate to the Polishing dept</t>
  </si>
  <si>
    <t>Apportion - electricity usage</t>
  </si>
  <si>
    <t>Apportion - value of inventory</t>
  </si>
  <si>
    <t>Allocate to canteen</t>
  </si>
  <si>
    <t>Gareth Ltd has the following forecast information for their product, the MEG:</t>
  </si>
  <si>
    <t>Forecast units</t>
  </si>
  <si>
    <t xml:space="preserve">£    </t>
  </si>
  <si>
    <t>Variable/semi variable costs</t>
  </si>
  <si>
    <t>Steel</t>
  </si>
  <si>
    <t>Worker’s wages and related costs</t>
  </si>
  <si>
    <t>Overheads</t>
  </si>
  <si>
    <t>Fixed costs</t>
  </si>
  <si>
    <t>Indirect labour</t>
  </si>
  <si>
    <t>Target profit for contract</t>
  </si>
  <si>
    <t>Worker’s wages and related costs are a semi variable cost. There is a fixed cost of £6,000 plus £1.20 per unit variable element. Use the table below to calculate the required number of units for this contract to break-even, and to achieve its target profit.</t>
  </si>
  <si>
    <t>Use the spreadsheet to complete the table (using formulas).</t>
  </si>
  <si>
    <t xml:space="preserve">Calculation of required number of units </t>
  </si>
  <si>
    <t>Target profit</t>
  </si>
  <si>
    <t>Fixed cost + target profit</t>
  </si>
  <si>
    <t>Variable costs</t>
  </si>
  <si>
    <t>Contribution per unit</t>
  </si>
  <si>
    <t>Required number of units to achieve break-even</t>
  </si>
  <si>
    <t>Required revenue to achieve break-even</t>
  </si>
  <si>
    <t>Required number of units to achieve target profit</t>
  </si>
  <si>
    <t>Required revenue to achieve target profit</t>
  </si>
  <si>
    <t>The following sales are anticipated by Harry’s Co over the next 5 months:</t>
  </si>
  <si>
    <t>60% of sales are cash sales.</t>
  </si>
  <si>
    <t xml:space="preserve">40% of sales are made on credit. Of these credit sales half will pay in the following month and the other half will pay two months after the sale was made. </t>
  </si>
  <si>
    <t>The credit customers who pay in the following month will receive a 5% settlement discount.</t>
  </si>
  <si>
    <t>Requirement: Prepare a cash budget for months 3 to 5</t>
  </si>
  <si>
    <t>Month 1</t>
  </si>
  <si>
    <t>Month 2</t>
  </si>
  <si>
    <t>Month 3</t>
  </si>
  <si>
    <t>Month 4</t>
  </si>
  <si>
    <t>Month 5</t>
  </si>
  <si>
    <r>
      <t xml:space="preserve">Sales </t>
    </r>
    <r>
      <rPr>
        <sz val="10.5"/>
        <color theme="1"/>
        <rFont val="Calibri"/>
        <family val="2"/>
      </rPr>
      <t>(for reference only)</t>
    </r>
  </si>
  <si>
    <r>
      <t>Cash sales</t>
    </r>
    <r>
      <rPr>
        <sz val="10.5"/>
        <color theme="1"/>
        <rFont val="Calibri"/>
        <family val="2"/>
      </rPr>
      <t xml:space="preserve"> – 60% of current months sales</t>
    </r>
  </si>
  <si>
    <r>
      <t>Credit sales</t>
    </r>
    <r>
      <rPr>
        <sz val="10.5"/>
        <color theme="1"/>
        <rFont val="Calibri"/>
        <family val="2"/>
      </rPr>
      <t xml:space="preserve"> – paid after 1 month</t>
    </r>
  </si>
  <si>
    <t>40% of total sales x 50% after one month x 95% (after discount)</t>
  </si>
  <si>
    <r>
      <t>Credit sales</t>
    </r>
    <r>
      <rPr>
        <sz val="10.5"/>
        <color theme="1"/>
        <rFont val="Calibri"/>
        <family val="2"/>
      </rPr>
      <t xml:space="preserve"> – paid after 2 months</t>
    </r>
  </si>
  <si>
    <t>40% of total sales x 50% after two months</t>
  </si>
  <si>
    <t xml:space="preserve">Total cash receipts per month </t>
  </si>
  <si>
    <t>Use copy and paste link to reference the actual results on the worksheet 'Ch15(10) Links (2)' in column C below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</si>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</sst>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&quot;£&quot;#,##0"/>
    <numFmt numFmtId="166" formatCode="_-* #,##0_-;\-* #,##0_-;_-* &quot;-&quot;??_-;_-@_-"/>
    <numFmt numFmtId="167" formatCode="[$£-809]#,##0.00"/>
    <numFmt numFmtId="168" formatCode="0.0%"/>
    <numFmt numFmtId="169" formatCode="#,##0.00;[Red]\(#,##0.00\)"/>
    <numFmt numFmtId="170" formatCode="[$-F800]dddd\,\ mmmm\ dd\,\ yyyy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.5"/>
      <color theme="1"/>
      <name val="Calibri"/>
      <family val="2"/>
    </font>
    <font>
      <sz val="11"/>
      <color rgb="FF000000"/>
      <name val="Calibri"/>
      <family val="2"/>
    </font>
    <font>
      <b/>
      <sz val="10.5"/>
      <color rgb="FFFFFFFF"/>
      <name val="Calibri"/>
      <family val="2"/>
    </font>
    <font>
      <b/>
      <sz val="10.5"/>
      <color theme="1"/>
      <name val="Calibri"/>
      <family val="2"/>
    </font>
    <font>
      <sz val="11"/>
      <color theme="1"/>
      <name val="Corbe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79F39"/>
        <bgColor indexed="64"/>
      </patternFill>
    </fill>
    <fill>
      <patternFill patternType="solid">
        <fgColor rgb="FFC5F7DE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79F39"/>
      </left>
      <right/>
      <top style="thick">
        <color rgb="FF079F39"/>
      </top>
      <bottom/>
      <diagonal/>
    </border>
    <border>
      <left/>
      <right/>
      <top style="thick">
        <color rgb="FF079F39"/>
      </top>
      <bottom/>
      <diagonal/>
    </border>
    <border>
      <left/>
      <right style="thick">
        <color rgb="FF079F39"/>
      </right>
      <top style="thick">
        <color rgb="FF079F39"/>
      </top>
      <bottom/>
      <diagonal/>
    </border>
    <border>
      <left style="thick">
        <color rgb="FF079F39"/>
      </left>
      <right/>
      <top/>
      <bottom style="medium">
        <color rgb="FF39F676"/>
      </bottom>
      <diagonal/>
    </border>
    <border>
      <left/>
      <right/>
      <top/>
      <bottom style="medium">
        <color rgb="FF39F676"/>
      </bottom>
      <diagonal/>
    </border>
    <border>
      <left/>
      <right style="thick">
        <color rgb="FF079F39"/>
      </right>
      <top/>
      <bottom style="medium">
        <color rgb="FF39F676"/>
      </bottom>
      <diagonal/>
    </border>
    <border>
      <left style="thick">
        <color rgb="FF079F39"/>
      </left>
      <right style="medium">
        <color rgb="FF39F676"/>
      </right>
      <top style="medium">
        <color rgb="FF39F676"/>
      </top>
      <bottom style="medium">
        <color rgb="FF39F676"/>
      </bottom>
      <diagonal/>
    </border>
    <border>
      <left/>
      <right style="medium">
        <color rgb="FF39F676"/>
      </right>
      <top style="medium">
        <color rgb="FF39F676"/>
      </top>
      <bottom style="medium">
        <color rgb="FF39F676"/>
      </bottom>
      <diagonal/>
    </border>
    <border>
      <left/>
      <right style="thick">
        <color rgb="FF079F39"/>
      </right>
      <top style="medium">
        <color rgb="FF39F676"/>
      </top>
      <bottom style="medium">
        <color rgb="FF39F676"/>
      </bottom>
      <diagonal/>
    </border>
    <border>
      <left style="thick">
        <color rgb="FF079F39"/>
      </left>
      <right style="medium">
        <color rgb="FF39F676"/>
      </right>
      <top/>
      <bottom style="medium">
        <color rgb="FF39F676"/>
      </bottom>
      <diagonal/>
    </border>
    <border>
      <left/>
      <right style="medium">
        <color rgb="FF39F676"/>
      </right>
      <top/>
      <bottom style="medium">
        <color rgb="FF39F676"/>
      </bottom>
      <diagonal/>
    </border>
    <border>
      <left style="thick">
        <color rgb="FF079F39"/>
      </left>
      <right style="medium">
        <color rgb="FF39F676"/>
      </right>
      <top/>
      <bottom style="thick">
        <color rgb="FF079F39"/>
      </bottom>
      <diagonal/>
    </border>
    <border>
      <left/>
      <right style="medium">
        <color rgb="FF39F676"/>
      </right>
      <top/>
      <bottom style="thick">
        <color rgb="FF079F39"/>
      </bottom>
      <diagonal/>
    </border>
    <border>
      <left/>
      <right style="thick">
        <color rgb="FF079F39"/>
      </right>
      <top/>
      <bottom style="thick">
        <color rgb="FF079F39"/>
      </bottom>
      <diagonal/>
    </border>
    <border>
      <left style="thick">
        <color rgb="FF079F39"/>
      </left>
      <right style="medium">
        <color rgb="FF39F676"/>
      </right>
      <top style="medium">
        <color rgb="FF39F676"/>
      </top>
      <bottom style="thin">
        <color indexed="64"/>
      </bottom>
      <diagonal/>
    </border>
    <border>
      <left/>
      <right style="medium">
        <color rgb="FF39F676"/>
      </right>
      <top style="medium">
        <color rgb="FF39F676"/>
      </top>
      <bottom style="thin">
        <color indexed="64"/>
      </bottom>
      <diagonal/>
    </border>
    <border>
      <left style="thick">
        <color rgb="FF079F39"/>
      </left>
      <right style="medium">
        <color rgb="FF39F676"/>
      </right>
      <top/>
      <bottom style="thin">
        <color indexed="64"/>
      </bottom>
      <diagonal/>
    </border>
    <border>
      <left/>
      <right style="medium">
        <color rgb="FF39F676"/>
      </right>
      <top/>
      <bottom style="thin">
        <color indexed="64"/>
      </bottom>
      <diagonal/>
    </border>
    <border>
      <left/>
      <right style="thick">
        <color rgb="FF079F39"/>
      </right>
      <top/>
      <bottom/>
      <diagonal/>
    </border>
    <border>
      <left style="thick">
        <color rgb="FF079F3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79F39"/>
      </left>
      <right/>
      <top style="thick">
        <color rgb="FF079F39"/>
      </top>
      <bottom style="medium">
        <color rgb="FF39F676"/>
      </bottom>
      <diagonal/>
    </border>
    <border>
      <left/>
      <right style="thick">
        <color rgb="FF079F39"/>
      </right>
      <top style="thick">
        <color rgb="FF079F39"/>
      </top>
      <bottom style="medium">
        <color rgb="FF39F676"/>
      </bottom>
      <diagonal/>
    </border>
    <border>
      <left/>
      <right/>
      <top/>
      <bottom style="thick">
        <color rgb="FF079F39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/>
  </cellStyleXfs>
  <cellXfs count="159">
    <xf numFmtId="0" fontId="0" fillId="0" borderId="0" xfId="0"/>
    <xf numFmtId="0" fontId="1" fillId="0" borderId="0" xfId="0" applyFont="1"/>
    <xf numFmtId="0" fontId="2" fillId="0" borderId="0" xfId="0" applyFont="1"/>
    <xf numFmtId="14" fontId="0" fillId="0" borderId="0" xfId="0" applyNumberFormat="1"/>
    <xf numFmtId="6" fontId="0" fillId="0" borderId="0" xfId="0" applyNumberFormat="1"/>
    <xf numFmtId="0" fontId="0" fillId="0" borderId="0" xfId="0" applyAlignment="1">
      <alignment horizontal="left"/>
    </xf>
    <xf numFmtId="14" fontId="1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165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1" fillId="2" borderId="4" xfId="0" applyFont="1" applyFill="1" applyBorder="1"/>
    <xf numFmtId="0" fontId="1" fillId="2" borderId="0" xfId="0" applyFont="1" applyFill="1"/>
    <xf numFmtId="0" fontId="0" fillId="2" borderId="0" xfId="0" applyFill="1"/>
    <xf numFmtId="0" fontId="0" fillId="2" borderId="5" xfId="0" applyFill="1" applyBorder="1"/>
    <xf numFmtId="0" fontId="0" fillId="0" borderId="4" xfId="0" applyBorder="1"/>
    <xf numFmtId="0" fontId="0" fillId="0" borderId="5" xfId="0" applyBorder="1"/>
    <xf numFmtId="0" fontId="1" fillId="0" borderId="4" xfId="0" applyFont="1" applyBorder="1"/>
    <xf numFmtId="9" fontId="0" fillId="3" borderId="0" xfId="2" applyFont="1" applyFill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1" fillId="0" borderId="8" xfId="0" applyFont="1" applyBorder="1"/>
    <xf numFmtId="9" fontId="0" fillId="3" borderId="8" xfId="2" applyFont="1" applyFill="1" applyBorder="1"/>
    <xf numFmtId="164" fontId="0" fillId="3" borderId="0" xfId="0" applyNumberFormat="1" applyFill="1"/>
    <xf numFmtId="22" fontId="0" fillId="3" borderId="0" xfId="0" applyNumberFormat="1" applyFill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43" fontId="0" fillId="3" borderId="0" xfId="1" applyFont="1" applyFill="1"/>
    <xf numFmtId="166" fontId="0" fillId="0" borderId="0" xfId="1" applyNumberFormat="1" applyFont="1"/>
    <xf numFmtId="0" fontId="7" fillId="0" borderId="0" xfId="0" applyFont="1"/>
    <xf numFmtId="0" fontId="0" fillId="0" borderId="0" xfId="0" quotePrefix="1"/>
    <xf numFmtId="0" fontId="1" fillId="0" borderId="0" xfId="0" applyFont="1" applyAlignment="1"/>
    <xf numFmtId="0" fontId="0" fillId="0" borderId="0" xfId="0" pivotButton="1"/>
    <xf numFmtId="0" fontId="0" fillId="0" borderId="0" xfId="0" applyNumberFormat="1"/>
    <xf numFmtId="0" fontId="0" fillId="0" borderId="0" xfId="0" applyFont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0" xfId="0" applyNumberFormat="1" applyFont="1"/>
    <xf numFmtId="166" fontId="1" fillId="0" borderId="9" xfId="1" applyNumberFormat="1" applyFont="1" applyBorder="1"/>
    <xf numFmtId="166" fontId="0" fillId="0" borderId="8" xfId="1" applyNumberFormat="1" applyFont="1" applyBorder="1"/>
    <xf numFmtId="8" fontId="0" fillId="0" borderId="0" xfId="0" applyNumberFormat="1"/>
    <xf numFmtId="0" fontId="3" fillId="0" borderId="0" xfId="0" applyFont="1"/>
    <xf numFmtId="0" fontId="7" fillId="0" borderId="0" xfId="0" applyFont="1" applyAlignment="1">
      <alignment horizontal="right"/>
    </xf>
    <xf numFmtId="166" fontId="0" fillId="3" borderId="0" xfId="0" applyNumberFormat="1" applyFill="1"/>
    <xf numFmtId="166" fontId="0" fillId="0" borderId="0" xfId="0" applyNumberFormat="1"/>
    <xf numFmtId="166" fontId="0" fillId="0" borderId="9" xfId="0" applyNumberFormat="1" applyBorder="1"/>
    <xf numFmtId="9" fontId="0" fillId="0" borderId="0" xfId="2" applyFont="1"/>
    <xf numFmtId="0" fontId="1" fillId="0" borderId="0" xfId="0" applyFont="1" applyAlignment="1">
      <alignment wrapText="1"/>
    </xf>
    <xf numFmtId="44" fontId="0" fillId="0" borderId="0" xfId="3" applyFont="1"/>
    <xf numFmtId="168" fontId="0" fillId="0" borderId="0" xfId="2" applyNumberFormat="1" applyFont="1"/>
    <xf numFmtId="169" fontId="0" fillId="0" borderId="0" xfId="0" applyNumberFormat="1"/>
    <xf numFmtId="44" fontId="0" fillId="0" borderId="9" xfId="3" applyFont="1" applyBorder="1"/>
    <xf numFmtId="170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9" fillId="4" borderId="12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0" fillId="0" borderId="17" xfId="0" applyFont="1" applyBorder="1" applyAlignment="1">
      <alignment horizontal="justify" vertical="center" wrapText="1"/>
    </xf>
    <xf numFmtId="1" fontId="10" fillId="0" borderId="18" xfId="0" applyNumberFormat="1" applyFont="1" applyBorder="1" applyAlignment="1">
      <alignment horizontal="justify" vertical="center" wrapText="1"/>
    </xf>
    <xf numFmtId="0" fontId="10" fillId="0" borderId="18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justify" vertical="center" wrapText="1"/>
    </xf>
    <xf numFmtId="0" fontId="10" fillId="0" borderId="20" xfId="0" applyFont="1" applyBorder="1" applyAlignment="1">
      <alignment horizontal="justify" vertical="center" wrapText="1"/>
    </xf>
    <xf numFmtId="0" fontId="11" fillId="0" borderId="2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justify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justify" vertical="center" wrapText="1"/>
    </xf>
    <xf numFmtId="0" fontId="10" fillId="0" borderId="27" xfId="0" applyFont="1" applyBorder="1" applyAlignment="1">
      <alignment horizontal="justify" vertical="center" wrapText="1"/>
    </xf>
    <xf numFmtId="165" fontId="10" fillId="0" borderId="21" xfId="0" applyNumberFormat="1" applyFont="1" applyBorder="1" applyAlignment="1">
      <alignment horizontal="right" vertical="center" wrapText="1"/>
    </xf>
    <xf numFmtId="165" fontId="10" fillId="0" borderId="23" xfId="0" applyNumberFormat="1" applyFont="1" applyBorder="1" applyAlignment="1">
      <alignment horizontal="right" vertical="center" wrapText="1"/>
    </xf>
    <xf numFmtId="165" fontId="10" fillId="0" borderId="26" xfId="0" applyNumberFormat="1" applyFont="1" applyBorder="1" applyAlignment="1">
      <alignment horizontal="right" vertical="center" wrapText="1"/>
    </xf>
    <xf numFmtId="165" fontId="10" fillId="0" borderId="28" xfId="0" applyNumberFormat="1" applyFont="1" applyBorder="1" applyAlignment="1">
      <alignment horizontal="right" vertical="center" wrapText="1"/>
    </xf>
    <xf numFmtId="165" fontId="10" fillId="0" borderId="18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vertical="center"/>
    </xf>
    <xf numFmtId="0" fontId="14" fillId="4" borderId="11" xfId="0" applyFont="1" applyFill="1" applyBorder="1" applyAlignment="1">
      <alignment horizontal="justify" vertical="center" wrapText="1"/>
    </xf>
    <xf numFmtId="0" fontId="14" fillId="4" borderId="12" xfId="0" applyFont="1" applyFill="1" applyBorder="1" applyAlignment="1">
      <alignment horizontal="justify" vertical="center" wrapText="1"/>
    </xf>
    <xf numFmtId="0" fontId="14" fillId="4" borderId="13" xfId="0" applyFont="1" applyFill="1" applyBorder="1" applyAlignment="1">
      <alignment horizontal="justify" vertical="center" wrapText="1"/>
    </xf>
    <xf numFmtId="0" fontId="12" fillId="0" borderId="17" xfId="0" applyFont="1" applyBorder="1" applyAlignment="1">
      <alignment horizontal="justify" vertical="center" wrapText="1"/>
    </xf>
    <xf numFmtId="0" fontId="12" fillId="0" borderId="18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0" fontId="12" fillId="0" borderId="20" xfId="0" applyFont="1" applyBorder="1" applyAlignment="1">
      <alignment horizontal="justify" vertical="center" wrapText="1"/>
    </xf>
    <xf numFmtId="0" fontId="12" fillId="0" borderId="21" xfId="0" applyFont="1" applyBorder="1" applyAlignment="1">
      <alignment horizontal="justify" vertical="center" wrapText="1"/>
    </xf>
    <xf numFmtId="0" fontId="12" fillId="0" borderId="16" xfId="0" applyFont="1" applyBorder="1" applyAlignment="1">
      <alignment horizontal="justify" vertical="center" wrapText="1"/>
    </xf>
    <xf numFmtId="0" fontId="12" fillId="0" borderId="22" xfId="0" applyFont="1" applyBorder="1" applyAlignment="1">
      <alignment horizontal="justify" vertical="center" wrapText="1"/>
    </xf>
    <xf numFmtId="0" fontId="12" fillId="0" borderId="23" xfId="0" applyFont="1" applyBorder="1" applyAlignment="1">
      <alignment horizontal="justify" vertical="center" wrapText="1"/>
    </xf>
    <xf numFmtId="0" fontId="12" fillId="0" borderId="24" xfId="0" applyFont="1" applyBorder="1" applyAlignment="1">
      <alignment horizontal="justify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2" fillId="6" borderId="10" xfId="0" applyFont="1" applyFill="1" applyBorder="1" applyAlignment="1">
      <alignment horizontal="justify" vertical="center" wrapText="1"/>
    </xf>
    <xf numFmtId="0" fontId="12" fillId="0" borderId="10" xfId="0" applyFont="1" applyBorder="1" applyAlignment="1">
      <alignment vertical="center" wrapText="1"/>
    </xf>
    <xf numFmtId="0" fontId="16" fillId="6" borderId="33" xfId="0" applyFont="1" applyFill="1" applyBorder="1" applyAlignment="1">
      <alignment wrapText="1"/>
    </xf>
    <xf numFmtId="0" fontId="12" fillId="6" borderId="34" xfId="0" applyFont="1" applyFill="1" applyBorder="1" applyAlignment="1">
      <alignment horizontal="justify" vertical="center" wrapText="1"/>
    </xf>
    <xf numFmtId="0" fontId="12" fillId="6" borderId="33" xfId="0" applyFont="1" applyFill="1" applyBorder="1" applyAlignment="1">
      <alignment horizontal="justify" vertical="center" wrapText="1"/>
    </xf>
    <xf numFmtId="0" fontId="12" fillId="0" borderId="10" xfId="0" applyFont="1" applyBorder="1" applyAlignment="1">
      <alignment horizontal="right" vertical="center" wrapText="1"/>
    </xf>
    <xf numFmtId="0" fontId="12" fillId="6" borderId="10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justify" vertical="center"/>
    </xf>
    <xf numFmtId="0" fontId="12" fillId="5" borderId="19" xfId="0" applyFont="1" applyFill="1" applyBorder="1" applyAlignment="1">
      <alignment horizontal="right" vertical="center" wrapText="1"/>
    </xf>
    <xf numFmtId="0" fontId="12" fillId="5" borderId="16" xfId="0" applyFont="1" applyFill="1" applyBorder="1" applyAlignment="1">
      <alignment horizontal="right" vertical="center" wrapText="1"/>
    </xf>
    <xf numFmtId="0" fontId="12" fillId="5" borderId="24" xfId="0" applyFont="1" applyFill="1" applyBorder="1" applyAlignment="1">
      <alignment horizontal="right" vertical="center" wrapText="1"/>
    </xf>
    <xf numFmtId="0" fontId="12" fillId="0" borderId="19" xfId="0" applyFont="1" applyBorder="1" applyAlignment="1">
      <alignment horizontal="right" vertical="center" wrapText="1"/>
    </xf>
    <xf numFmtId="0" fontId="12" fillId="0" borderId="16" xfId="0" applyFont="1" applyBorder="1" applyAlignment="1">
      <alignment horizontal="right" vertical="center" wrapText="1"/>
    </xf>
    <xf numFmtId="0" fontId="12" fillId="0" borderId="24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14" fillId="4" borderId="11" xfId="0" applyFont="1" applyFill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15" fillId="0" borderId="34" xfId="0" applyFont="1" applyBorder="1" applyAlignment="1">
      <alignment vertical="center" wrapText="1"/>
    </xf>
    <xf numFmtId="166" fontId="17" fillId="0" borderId="0" xfId="1" applyNumberFormat="1" applyFont="1"/>
    <xf numFmtId="0" fontId="11" fillId="0" borderId="0" xfId="0" applyFont="1" applyAlignment="1">
      <alignment horizontal="justify"/>
    </xf>
    <xf numFmtId="0" fontId="15" fillId="0" borderId="0" xfId="0" applyFont="1" applyAlignment="1">
      <alignment horizontal="justify" vertical="center"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4" fillId="4" borderId="11" xfId="0" applyFont="1" applyFill="1" applyBorder="1" applyAlignment="1">
      <alignment horizontal="justify" vertical="center" wrapText="1"/>
    </xf>
    <xf numFmtId="0" fontId="14" fillId="4" borderId="30" xfId="0" applyFont="1" applyFill="1" applyBorder="1" applyAlignment="1">
      <alignment horizontal="justify" vertical="center" wrapText="1"/>
    </xf>
    <xf numFmtId="0" fontId="14" fillId="4" borderId="12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2" fillId="0" borderId="32" xfId="0" applyFont="1" applyBorder="1" applyAlignment="1">
      <alignment horizontal="right" vertical="center" wrapText="1"/>
    </xf>
    <xf numFmtId="0" fontId="12" fillId="6" borderId="10" xfId="0" applyFont="1" applyFill="1" applyBorder="1" applyAlignment="1">
      <alignment horizontal="right" vertical="center" wrapText="1"/>
    </xf>
    <xf numFmtId="0" fontId="15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14" fillId="4" borderId="35" xfId="0" applyFont="1" applyFill="1" applyBorder="1" applyAlignment="1">
      <alignment horizontal="justify" vertical="center" wrapText="1"/>
    </xf>
    <xf numFmtId="0" fontId="14" fillId="4" borderId="36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5" borderId="10" xfId="0" applyFont="1" applyFill="1" applyBorder="1" applyAlignment="1">
      <alignment horizontal="justify" vertical="center" wrapText="1"/>
    </xf>
    <xf numFmtId="0" fontId="10" fillId="0" borderId="3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5" borderId="10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center" wrapText="1"/>
    </xf>
  </cellXfs>
  <cellStyles count="5">
    <cellStyle name="Comma" xfId="1" builtinId="3"/>
    <cellStyle name="Currency" xfId="3" builtinId="4"/>
    <cellStyle name="Normal" xfId="0" builtinId="0"/>
    <cellStyle name="Normal 2" xfId="4" xr:uid="{00000000-0005-0000-0000-000003000000}"/>
    <cellStyle name="Percent" xfId="2" builtinId="5"/>
  </cellStyles>
  <dxfs count="5">
    <dxf>
      <numFmt numFmtId="0" formatCode="General"/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26" Type="http://schemas.openxmlformats.org/officeDocument/2006/relationships/worksheet" Target="worksheets/sheet25.xml"/><Relationship Id="rId39" Type="http://schemas.openxmlformats.org/officeDocument/2006/relationships/worksheet" Target="worksheets/sheet38.xml"/><Relationship Id="rId21" Type="http://schemas.openxmlformats.org/officeDocument/2006/relationships/worksheet" Target="worksheets/sheet20.xml"/><Relationship Id="rId34" Type="http://schemas.openxmlformats.org/officeDocument/2006/relationships/worksheet" Target="worksheets/sheet33.xml"/><Relationship Id="rId42" Type="http://schemas.openxmlformats.org/officeDocument/2006/relationships/pivotCacheDefinition" Target="pivotCache/pivotCacheDefinition1.xml"/><Relationship Id="rId47" Type="http://schemas.openxmlformats.org/officeDocument/2006/relationships/connections" Target="connections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9" Type="http://schemas.openxmlformats.org/officeDocument/2006/relationships/worksheet" Target="worksheets/sheet28.xml"/><Relationship Id="rId11" Type="http://schemas.openxmlformats.org/officeDocument/2006/relationships/worksheet" Target="worksheets/sheet10.xml"/><Relationship Id="rId24" Type="http://schemas.openxmlformats.org/officeDocument/2006/relationships/worksheet" Target="worksheets/sheet23.xml"/><Relationship Id="rId32" Type="http://schemas.openxmlformats.org/officeDocument/2006/relationships/worksheet" Target="worksheets/sheet31.xml"/><Relationship Id="rId37" Type="http://schemas.openxmlformats.org/officeDocument/2006/relationships/worksheet" Target="worksheets/sheet36.xml"/><Relationship Id="rId40" Type="http://schemas.openxmlformats.org/officeDocument/2006/relationships/worksheet" Target="worksheets/sheet39.xml"/><Relationship Id="rId45" Type="http://schemas.openxmlformats.org/officeDocument/2006/relationships/pivotCacheDefinition" Target="pivotCache/pivotCacheDefinition4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9.xml"/><Relationship Id="rId19" Type="http://schemas.openxmlformats.org/officeDocument/2006/relationships/worksheet" Target="worksheets/sheet18.xml"/><Relationship Id="rId31" Type="http://schemas.openxmlformats.org/officeDocument/2006/relationships/worksheet" Target="worksheets/sheet30.xml"/><Relationship Id="rId44" Type="http://schemas.openxmlformats.org/officeDocument/2006/relationships/pivotCacheDefinition" Target="pivotCache/pivotCacheDefinition3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Relationship Id="rId27" Type="http://schemas.openxmlformats.org/officeDocument/2006/relationships/worksheet" Target="worksheets/sheet26.xml"/><Relationship Id="rId30" Type="http://schemas.openxmlformats.org/officeDocument/2006/relationships/worksheet" Target="worksheets/sheet29.xml"/><Relationship Id="rId35" Type="http://schemas.openxmlformats.org/officeDocument/2006/relationships/worksheet" Target="worksheets/sheet34.xml"/><Relationship Id="rId43" Type="http://schemas.openxmlformats.org/officeDocument/2006/relationships/pivotCacheDefinition" Target="pivotCache/pivotCacheDefinition2.xml"/><Relationship Id="rId48" Type="http://schemas.openxmlformats.org/officeDocument/2006/relationships/styles" Target="styles.xml"/><Relationship Id="rId8" Type="http://schemas.openxmlformats.org/officeDocument/2006/relationships/chartsheet" Target="chartsheets/sheet1.xml"/><Relationship Id="rId51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33" Type="http://schemas.openxmlformats.org/officeDocument/2006/relationships/worksheet" Target="worksheets/sheet32.xml"/><Relationship Id="rId38" Type="http://schemas.openxmlformats.org/officeDocument/2006/relationships/worksheet" Target="worksheets/sheet37.xml"/><Relationship Id="rId46" Type="http://schemas.openxmlformats.org/officeDocument/2006/relationships/theme" Target="theme/theme1.xml"/><Relationship Id="rId20" Type="http://schemas.openxmlformats.org/officeDocument/2006/relationships/worksheet" Target="worksheets/sheet19.xml"/><Relationship Id="rId41" Type="http://schemas.openxmlformats.org/officeDocument/2006/relationships/worksheet" Target="worksheets/sheet40.xml"/><Relationship Id="rId54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4.xml"/><Relationship Id="rId23" Type="http://schemas.openxmlformats.org/officeDocument/2006/relationships/worksheet" Target="worksheets/sheet22.xml"/><Relationship Id="rId28" Type="http://schemas.openxmlformats.org/officeDocument/2006/relationships/worksheet" Target="worksheets/sheet27.xml"/><Relationship Id="rId36" Type="http://schemas.openxmlformats.org/officeDocument/2006/relationships/worksheet" Target="worksheets/sheet35.xml"/><Relationship Id="rId49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Numbers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'Ch15(7) Charts(1)'!$C$5</c:f>
              <c:strCache>
                <c:ptCount val="1"/>
                <c:pt idx="0">
                  <c:v>Jan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'Ch15(7) Charts(1)'!$B$6:$B$10</c:f>
              <c:strCache>
                <c:ptCount val="5"/>
                <c:pt idx="0">
                  <c:v>Birmingham</c:v>
                </c:pt>
                <c:pt idx="1">
                  <c:v>Cambridge</c:v>
                </c:pt>
                <c:pt idx="2">
                  <c:v>Nottingham</c:v>
                </c:pt>
                <c:pt idx="3">
                  <c:v>Southampton</c:v>
                </c:pt>
                <c:pt idx="4">
                  <c:v>Leeds</c:v>
                </c:pt>
              </c:strCache>
            </c:strRef>
          </c:cat>
          <c:val>
            <c:numRef>
              <c:f>'Ch15(7) Charts(1)'!$C$6:$C$10</c:f>
              <c:numCache>
                <c:formatCode>General</c:formatCode>
                <c:ptCount val="5"/>
                <c:pt idx="0">
                  <c:v>52</c:v>
                </c:pt>
                <c:pt idx="1">
                  <c:v>31</c:v>
                </c:pt>
                <c:pt idx="2">
                  <c:v>23</c:v>
                </c:pt>
                <c:pt idx="3">
                  <c:v>14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8-407F-A734-8101BF985676}"/>
            </c:ext>
          </c:extLst>
        </c:ser>
        <c:ser>
          <c:idx val="1"/>
          <c:order val="1"/>
          <c:tx>
            <c:strRef>
              <c:f>'Ch15(7) Charts(1)'!$D$5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'Ch15(7) Charts(1)'!$B$6:$B$10</c:f>
              <c:strCache>
                <c:ptCount val="5"/>
                <c:pt idx="0">
                  <c:v>Birmingham</c:v>
                </c:pt>
                <c:pt idx="1">
                  <c:v>Cambridge</c:v>
                </c:pt>
                <c:pt idx="2">
                  <c:v>Nottingham</c:v>
                </c:pt>
                <c:pt idx="3">
                  <c:v>Southampton</c:v>
                </c:pt>
                <c:pt idx="4">
                  <c:v>Leeds</c:v>
                </c:pt>
              </c:strCache>
            </c:strRef>
          </c:cat>
          <c:val>
            <c:numRef>
              <c:f>'Ch15(7) Charts(1)'!$D$6:$D$10</c:f>
              <c:numCache>
                <c:formatCode>General</c:formatCode>
                <c:ptCount val="5"/>
                <c:pt idx="0">
                  <c:v>48</c:v>
                </c:pt>
                <c:pt idx="1">
                  <c:v>37</c:v>
                </c:pt>
                <c:pt idx="2">
                  <c:v>39</c:v>
                </c:pt>
                <c:pt idx="3">
                  <c:v>24</c:v>
                </c:pt>
                <c:pt idx="4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48-407F-A734-8101BF985676}"/>
            </c:ext>
          </c:extLst>
        </c:ser>
        <c:ser>
          <c:idx val="2"/>
          <c:order val="2"/>
          <c:tx>
            <c:strRef>
              <c:f>'Ch15(7) Charts(1)'!$E$5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'Ch15(7) Charts(1)'!$B$6:$B$10</c:f>
              <c:strCache>
                <c:ptCount val="5"/>
                <c:pt idx="0">
                  <c:v>Birmingham</c:v>
                </c:pt>
                <c:pt idx="1">
                  <c:v>Cambridge</c:v>
                </c:pt>
                <c:pt idx="2">
                  <c:v>Nottingham</c:v>
                </c:pt>
                <c:pt idx="3">
                  <c:v>Southampton</c:v>
                </c:pt>
                <c:pt idx="4">
                  <c:v>Leeds</c:v>
                </c:pt>
              </c:strCache>
            </c:strRef>
          </c:cat>
          <c:val>
            <c:numRef>
              <c:f>'Ch15(7) Charts(1)'!$E$6:$E$10</c:f>
              <c:numCache>
                <c:formatCode>General</c:formatCode>
                <c:ptCount val="5"/>
                <c:pt idx="0">
                  <c:v>56</c:v>
                </c:pt>
                <c:pt idx="1">
                  <c:v>39</c:v>
                </c:pt>
                <c:pt idx="2">
                  <c:v>54</c:v>
                </c:pt>
                <c:pt idx="3">
                  <c:v>28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48-407F-A734-8101BF985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806464"/>
        <c:axId val="105808640"/>
        <c:axId val="0"/>
      </c:bar3DChart>
      <c:catAx>
        <c:axId val="1058064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Centres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08640"/>
        <c:crosses val="autoZero"/>
        <c:auto val="1"/>
        <c:lblAlgn val="ctr"/>
        <c:lblOffset val="100"/>
        <c:noMultiLvlLbl val="0"/>
      </c:catAx>
      <c:valAx>
        <c:axId val="105808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0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'Ch15(8) Charts(2)'!$B$10</c:f>
              <c:strCache>
                <c:ptCount val="1"/>
                <c:pt idx="0">
                  <c:v>Bristol</c:v>
                </c:pt>
              </c:strCache>
            </c:strRef>
          </c:tx>
          <c:marker>
            <c:symbol val="none"/>
          </c:marker>
          <c:cat>
            <c:strRef>
              <c:f>'Ch15(8) Charts(2)'!$C$9:$N$9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'Ch15(8) Charts(2)'!$C$10:$N$10</c:f>
              <c:numCache>
                <c:formatCode>_-* #,##0_-;\-* #,##0_-;_-* "-"??_-;_-@_-</c:formatCode>
                <c:ptCount val="12"/>
                <c:pt idx="0">
                  <c:v>30770</c:v>
                </c:pt>
                <c:pt idx="1">
                  <c:v>16463</c:v>
                </c:pt>
                <c:pt idx="2">
                  <c:v>29062</c:v>
                </c:pt>
                <c:pt idx="3">
                  <c:v>14234</c:v>
                </c:pt>
                <c:pt idx="4">
                  <c:v>11678</c:v>
                </c:pt>
                <c:pt idx="5">
                  <c:v>15360</c:v>
                </c:pt>
                <c:pt idx="6">
                  <c:v>18708</c:v>
                </c:pt>
                <c:pt idx="7">
                  <c:v>24360</c:v>
                </c:pt>
                <c:pt idx="8">
                  <c:v>24291</c:v>
                </c:pt>
                <c:pt idx="9">
                  <c:v>17997</c:v>
                </c:pt>
                <c:pt idx="10">
                  <c:v>27909</c:v>
                </c:pt>
                <c:pt idx="11">
                  <c:v>48256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99-4206-AAEE-6DE15E0F4F30}"/>
            </c:ext>
          </c:extLst>
        </c:ser>
        <c:ser>
          <c:idx val="1"/>
          <c:order val="1"/>
          <c:tx>
            <c:strRef>
              <c:f>'Ch15(8) Charts(2)'!$B$11</c:f>
              <c:strCache>
                <c:ptCount val="1"/>
                <c:pt idx="0">
                  <c:v>London</c:v>
                </c:pt>
              </c:strCache>
            </c:strRef>
          </c:tx>
          <c:marker>
            <c:symbol val="none"/>
          </c:marker>
          <c:cat>
            <c:strRef>
              <c:f>'Ch15(8) Charts(2)'!$C$9:$N$9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'Ch15(8) Charts(2)'!$C$11:$N$11</c:f>
              <c:numCache>
                <c:formatCode>_-* #,##0_-;\-* #,##0_-;_-* "-"??_-;_-@_-</c:formatCode>
                <c:ptCount val="12"/>
                <c:pt idx="0">
                  <c:v>22582</c:v>
                </c:pt>
                <c:pt idx="1">
                  <c:v>18978</c:v>
                </c:pt>
                <c:pt idx="2">
                  <c:v>26448</c:v>
                </c:pt>
                <c:pt idx="3">
                  <c:v>22158</c:v>
                </c:pt>
                <c:pt idx="4">
                  <c:v>24569</c:v>
                </c:pt>
                <c:pt idx="5">
                  <c:v>23360</c:v>
                </c:pt>
                <c:pt idx="6">
                  <c:v>40134</c:v>
                </c:pt>
                <c:pt idx="7">
                  <c:v>46541</c:v>
                </c:pt>
                <c:pt idx="8">
                  <c:v>49077</c:v>
                </c:pt>
                <c:pt idx="9">
                  <c:v>44245</c:v>
                </c:pt>
                <c:pt idx="10">
                  <c:v>29080</c:v>
                </c:pt>
                <c:pt idx="11">
                  <c:v>21889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99-4206-AAEE-6DE15E0F4F30}"/>
            </c:ext>
          </c:extLst>
        </c:ser>
        <c:ser>
          <c:idx val="2"/>
          <c:order val="2"/>
          <c:tx>
            <c:strRef>
              <c:f>'Ch15(8) Charts(2)'!$B$12</c:f>
              <c:strCache>
                <c:ptCount val="1"/>
                <c:pt idx="0">
                  <c:v>Manchester</c:v>
                </c:pt>
              </c:strCache>
            </c:strRef>
          </c:tx>
          <c:marker>
            <c:symbol val="none"/>
          </c:marker>
          <c:cat>
            <c:strRef>
              <c:f>'Ch15(8) Charts(2)'!$C$9:$N$9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'Ch15(8) Charts(2)'!$C$12:$N$12</c:f>
              <c:numCache>
                <c:formatCode>_-* #,##0_-;\-* #,##0_-;_-* "-"??_-;_-@_-</c:formatCode>
                <c:ptCount val="12"/>
                <c:pt idx="0">
                  <c:v>31333</c:v>
                </c:pt>
                <c:pt idx="1">
                  <c:v>33975</c:v>
                </c:pt>
                <c:pt idx="2">
                  <c:v>43098</c:v>
                </c:pt>
                <c:pt idx="3">
                  <c:v>10189</c:v>
                </c:pt>
                <c:pt idx="4">
                  <c:v>23302</c:v>
                </c:pt>
                <c:pt idx="5">
                  <c:v>31829</c:v>
                </c:pt>
                <c:pt idx="6">
                  <c:v>24374</c:v>
                </c:pt>
                <c:pt idx="7">
                  <c:v>12962</c:v>
                </c:pt>
                <c:pt idx="8">
                  <c:v>44678</c:v>
                </c:pt>
                <c:pt idx="9">
                  <c:v>33329</c:v>
                </c:pt>
                <c:pt idx="10">
                  <c:v>44923</c:v>
                </c:pt>
                <c:pt idx="11">
                  <c:v>38617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99-4206-AAEE-6DE15E0F4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81984"/>
        <c:axId val="105883904"/>
      </c:lineChart>
      <c:catAx>
        <c:axId val="10588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5883904"/>
        <c:crosses val="autoZero"/>
        <c:auto val="1"/>
        <c:lblAlgn val="ctr"/>
        <c:lblOffset val="100"/>
        <c:noMultiLvlLbl val="0"/>
      </c:catAx>
      <c:valAx>
        <c:axId val="105883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Revenue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105881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'Ch15(8) Charts(2)'!$B$10</c:f>
              <c:strCache>
                <c:ptCount val="1"/>
                <c:pt idx="0">
                  <c:v>Bristol</c:v>
                </c:pt>
              </c:strCache>
            </c:strRef>
          </c:tx>
          <c:invertIfNegative val="0"/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0CBF-4716-8611-73E9766A35EB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4-0CBF-4716-8611-73E9766A35EB}"/>
              </c:ext>
            </c:extLst>
          </c:dPt>
          <c:trendline>
            <c:trendlineType val="linear"/>
            <c:dispRSqr val="0"/>
            <c:dispEq val="0"/>
          </c:trendline>
          <c:cat>
            <c:strRef>
              <c:f>'Ch15(8) Charts(2)'!$C$9:$N$9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'Ch15(8) Charts(2)'!$C$10:$N$10</c:f>
              <c:numCache>
                <c:formatCode>_-* #,##0_-;\-* #,##0_-;_-* "-"??_-;_-@_-</c:formatCode>
                <c:ptCount val="12"/>
                <c:pt idx="0">
                  <c:v>30770</c:v>
                </c:pt>
                <c:pt idx="1">
                  <c:v>16463</c:v>
                </c:pt>
                <c:pt idx="2">
                  <c:v>29062</c:v>
                </c:pt>
                <c:pt idx="3">
                  <c:v>14234</c:v>
                </c:pt>
                <c:pt idx="4">
                  <c:v>11678</c:v>
                </c:pt>
                <c:pt idx="5">
                  <c:v>15360</c:v>
                </c:pt>
                <c:pt idx="6">
                  <c:v>18708</c:v>
                </c:pt>
                <c:pt idx="7">
                  <c:v>24360</c:v>
                </c:pt>
                <c:pt idx="8">
                  <c:v>24291</c:v>
                </c:pt>
                <c:pt idx="9">
                  <c:v>17997</c:v>
                </c:pt>
                <c:pt idx="10">
                  <c:v>27909</c:v>
                </c:pt>
                <c:pt idx="11">
                  <c:v>48256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F-4716-8611-73E9766A3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80192"/>
        <c:axId val="107482112"/>
      </c:barChart>
      <c:catAx>
        <c:axId val="107480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7482112"/>
        <c:crosses val="autoZero"/>
        <c:auto val="1"/>
        <c:lblAlgn val="ctr"/>
        <c:lblOffset val="100"/>
        <c:noMultiLvlLbl val="0"/>
      </c:catAx>
      <c:valAx>
        <c:axId val="107482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Revenue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107480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[Course_Notes_Answers.xlsx]Ch16(6) PivotChart(1)!PivotTable3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'Ch16(6) PivotChart(1)'!$I$7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'Ch16(6) PivotChart(1)'!$H$8:$H$12</c:f>
              <c:strCache>
                <c:ptCount val="4"/>
                <c:pt idx="0">
                  <c:v>Ball</c:v>
                </c:pt>
                <c:pt idx="1">
                  <c:v>Bat</c:v>
                </c:pt>
                <c:pt idx="2">
                  <c:v>Net</c:v>
                </c:pt>
                <c:pt idx="3">
                  <c:v>Raquet</c:v>
                </c:pt>
              </c:strCache>
            </c:strRef>
          </c:cat>
          <c:val>
            <c:numRef>
              <c:f>'Ch16(6) PivotChart(1)'!$I$8:$I$12</c:f>
              <c:numCache>
                <c:formatCode>General</c:formatCode>
                <c:ptCount val="4"/>
                <c:pt idx="0">
                  <c:v>2</c:v>
                </c:pt>
                <c:pt idx="1">
                  <c:v>16</c:v>
                </c:pt>
                <c:pt idx="2">
                  <c:v>3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3-41E7-B329-A94724271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511808"/>
        <c:axId val="107513344"/>
      </c:barChart>
      <c:catAx>
        <c:axId val="10751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13344"/>
        <c:crosses val="autoZero"/>
        <c:auto val="1"/>
        <c:lblAlgn val="ctr"/>
        <c:lblOffset val="100"/>
        <c:noMultiLvlLbl val="0"/>
      </c:catAx>
      <c:valAx>
        <c:axId val="10751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1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[Course_Notes_Answers.xlsx]London Chart!PivotTable2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London Revenue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FF00"/>
          </a:solidFill>
        </c:spPr>
      </c:pivotFmt>
    </c:pivotFmts>
    <c:plotArea>
      <c:layout/>
      <c:pieChart>
        <c:varyColors val="1"/>
        <c:ser>
          <c:idx val="0"/>
          <c:order val="0"/>
          <c:tx>
            <c:strRef>
              <c:f>'London Chart'!$B$3</c:f>
              <c:strCache>
                <c:ptCount val="1"/>
                <c:pt idx="0">
                  <c:v>Total</c:v>
                </c:pt>
              </c:strCache>
            </c:strRef>
          </c:tx>
          <c:explosion val="25"/>
          <c:dPt>
            <c:idx val="2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3268-4F3F-BC78-E401800377AB}"/>
              </c:ext>
            </c:extLst>
          </c:dPt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'London Chart'!$A$4:$A$7</c:f>
              <c:strCache>
                <c:ptCount val="3"/>
                <c:pt idx="0">
                  <c:v>Caps</c:v>
                </c:pt>
                <c:pt idx="1">
                  <c:v>Shorts</c:v>
                </c:pt>
                <c:pt idx="2">
                  <c:v>T-shirts</c:v>
                </c:pt>
              </c:strCache>
            </c:strRef>
          </c:cat>
          <c:val>
            <c:numRef>
              <c:f>'London Chart'!$B$4:$B$7</c:f>
              <c:numCache>
                <c:formatCode>General</c:formatCode>
                <c:ptCount val="3"/>
                <c:pt idx="0">
                  <c:v>98380</c:v>
                </c:pt>
                <c:pt idx="1">
                  <c:v>413380</c:v>
                </c:pt>
                <c:pt idx="2">
                  <c:v>82050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68-4F3F-BC78-E40180037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8"/>
      </c:pie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/>
  <sheetViews>
    <sheetView zoomScale="6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10</xdr:col>
      <xdr:colOff>407512</xdr:colOff>
      <xdr:row>43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6A9B86-E783-4919-A728-7404A5B6B3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581"/>
        <a:stretch/>
      </xdr:blipFill>
      <xdr:spPr>
        <a:xfrm>
          <a:off x="0" y="2941320"/>
          <a:ext cx="9425624" cy="495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13</xdr:row>
      <xdr:rowOff>3810</xdr:rowOff>
    </xdr:from>
    <xdr:to>
      <xdr:col>8</xdr:col>
      <xdr:colOff>45720</xdr:colOff>
      <xdr:row>27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13</xdr:row>
      <xdr:rowOff>0</xdr:rowOff>
    </xdr:from>
    <xdr:to>
      <xdr:col>15</xdr:col>
      <xdr:colOff>701040</xdr:colOff>
      <xdr:row>27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ECBEDB-3931-41BC-AAC7-104AFF4DB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411480</xdr:colOff>
      <xdr:row>5</xdr:row>
      <xdr:rowOff>15240</xdr:rowOff>
    </xdr:from>
    <xdr:to>
      <xdr:col>14</xdr:col>
      <xdr:colOff>106680</xdr:colOff>
      <xdr:row>20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71CF52-BEE8-4F9C-BA03-A004E3689C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548640</xdr:colOff>
      <xdr:row>16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 Ryder" refreshedDate="43559.478009375001" createdVersion="6" refreshedVersion="6" minRefreshableVersion="3" recordCount="8" xr:uid="{00000000-000A-0000-FFFF-FFFF07000000}">
  <cacheSource type="worksheet">
    <worksheetSource ref="A3:D11" sheet="Ch16(13) Pivot(1)"/>
  </cacheSource>
  <cacheFields count="4">
    <cacheField name="Item" numFmtId="0">
      <sharedItems count="4">
        <s v="Ball"/>
        <s v="Raquet"/>
        <s v="Bat"/>
        <s v="Net"/>
      </sharedItems>
    </cacheField>
    <cacheField name="Location" numFmtId="0">
      <sharedItems count="2">
        <s v="Online"/>
        <s v="Shop"/>
      </sharedItems>
    </cacheField>
    <cacheField name="Price" numFmtId="6">
      <sharedItems containsSemiMixedTypes="0" containsString="0" containsNumber="1" containsInteger="1" minValue="10" maxValue="62"/>
    </cacheField>
    <cacheField name="Quantity" numFmtId="0">
      <sharedItems containsSemiMixedTypes="0" containsString="0" containsNumber="1" containsInteger="1" minValue="1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 Ryder" refreshedDate="43559.5999443287" createdVersion="6" refreshedVersion="6" minRefreshableVersion="3" recordCount="8" xr:uid="{00000000-000A-0000-FFFF-FFFF08000000}">
  <cacheSource type="worksheet">
    <worksheetSource ref="A3:D11" sheet="Ch16(6) PivotChart(1)"/>
  </cacheSource>
  <cacheFields count="4">
    <cacheField name="Item" numFmtId="0">
      <sharedItems count="4">
        <s v="Ball"/>
        <s v="Raquet"/>
        <s v="Bat"/>
        <s v="Net"/>
      </sharedItems>
    </cacheField>
    <cacheField name="Location" numFmtId="0">
      <sharedItems/>
    </cacheField>
    <cacheField name="Price" numFmtId="6">
      <sharedItems containsSemiMixedTypes="0" containsString="0" containsNumber="1" containsInteger="1" minValue="10" maxValue="62"/>
    </cacheField>
    <cacheField name="Quantity" numFmtId="0">
      <sharedItems containsSemiMixedTypes="0" containsString="0" containsNumber="1" containsInteger="1" minValue="1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 Bullman" refreshedDate="43583.469868865737" createdVersion="4" refreshedVersion="4" minRefreshableVersion="3" recordCount="27" xr:uid="{00000000-000A-0000-FFFF-FFFF09000000}">
  <cacheSource type="worksheet">
    <worksheetSource ref="B5:F32" sheet="Ch16(14) Pivot(2)"/>
  </cacheSource>
  <cacheFields count="5">
    <cacheField name="Product" numFmtId="0">
      <sharedItems count="3">
        <s v="T-shirts"/>
        <s v="Shorts"/>
        <s v="Caps"/>
      </sharedItems>
    </cacheField>
    <cacheField name="Product colour" numFmtId="0">
      <sharedItems/>
    </cacheField>
    <cacheField name="Shop" numFmtId="0">
      <sharedItems count="3">
        <s v="London"/>
        <s v="Bristol"/>
        <s v="Manchester"/>
      </sharedItems>
    </cacheField>
    <cacheField name="Sales Units" numFmtId="166">
      <sharedItems containsSemiMixedTypes="0" containsString="0" containsNumber="1" containsInteger="1" minValue="1004" maxValue="9468"/>
    </cacheField>
    <cacheField name="Sales Revenue" numFmtId="166">
      <sharedItems containsSemiMixedTypes="0" containsString="0" containsNumber="1" containsInteger="1" minValue="10040" maxValue="1807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 Bullman" refreshedDate="43591.470035995371" createdVersion="4" refreshedVersion="4" minRefreshableVersion="3" recordCount="27" xr:uid="{00000000-000A-0000-FFFF-FFFF0A000000}">
  <cacheSource type="worksheet">
    <worksheetSource ref="B13:F40" sheet="Ch16(7) PivotChart(2)"/>
  </cacheSource>
  <cacheFields count="5">
    <cacheField name="Product" numFmtId="0">
      <sharedItems count="3">
        <s v="T-shirts"/>
        <s v="Shorts"/>
        <s v="Caps"/>
      </sharedItems>
    </cacheField>
    <cacheField name="Product colour" numFmtId="0">
      <sharedItems/>
    </cacheField>
    <cacheField name="Shop" numFmtId="0">
      <sharedItems count="3">
        <s v="London"/>
        <s v="Bristol"/>
        <s v="Manchester"/>
      </sharedItems>
    </cacheField>
    <cacheField name="Sales Units" numFmtId="166">
      <sharedItems containsSemiMixedTypes="0" containsString="0" containsNumber="1" containsInteger="1" minValue="1004" maxValue="9468"/>
    </cacheField>
    <cacheField name="Sales Revenue" numFmtId="166">
      <sharedItems containsSemiMixedTypes="0" containsString="0" containsNumber="1" containsInteger="1" minValue="10040" maxValue="1807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n v="10"/>
    <n v="2"/>
  </r>
  <r>
    <x v="1"/>
    <x v="0"/>
    <n v="12"/>
    <n v="3"/>
  </r>
  <r>
    <x v="2"/>
    <x v="1"/>
    <n v="27"/>
    <n v="6"/>
  </r>
  <r>
    <x v="2"/>
    <x v="0"/>
    <n v="25"/>
    <n v="4"/>
  </r>
  <r>
    <x v="3"/>
    <x v="0"/>
    <n v="23"/>
    <n v="3"/>
  </r>
  <r>
    <x v="2"/>
    <x v="1"/>
    <n v="32"/>
    <n v="6"/>
  </r>
  <r>
    <x v="1"/>
    <x v="1"/>
    <n v="48"/>
    <n v="5"/>
  </r>
  <r>
    <x v="1"/>
    <x v="1"/>
    <n v="62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s v="Online"/>
    <n v="10"/>
    <n v="2"/>
  </r>
  <r>
    <x v="1"/>
    <s v="Online"/>
    <n v="12"/>
    <n v="3"/>
  </r>
  <r>
    <x v="2"/>
    <s v="Shop"/>
    <n v="27"/>
    <n v="6"/>
  </r>
  <r>
    <x v="2"/>
    <s v="Online"/>
    <n v="25"/>
    <n v="4"/>
  </r>
  <r>
    <x v="3"/>
    <s v="Online"/>
    <n v="23"/>
    <n v="3"/>
  </r>
  <r>
    <x v="2"/>
    <s v="Shop"/>
    <n v="32"/>
    <n v="6"/>
  </r>
  <r>
    <x v="1"/>
    <s v="Shop"/>
    <n v="48"/>
    <n v="5"/>
  </r>
  <r>
    <x v="1"/>
    <s v="Shop"/>
    <n v="62"/>
    <n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7">
  <r>
    <x v="0"/>
    <s v="Red"/>
    <x v="0"/>
    <n v="2228"/>
    <n v="22280"/>
  </r>
  <r>
    <x v="0"/>
    <s v="Yellow"/>
    <x v="0"/>
    <n v="1209"/>
    <n v="12090"/>
  </r>
  <r>
    <x v="0"/>
    <s v="Blue"/>
    <x v="0"/>
    <n v="4768"/>
    <n v="47680"/>
  </r>
  <r>
    <x v="1"/>
    <s v="Red"/>
    <x v="0"/>
    <n v="8540"/>
    <n v="170800"/>
  </r>
  <r>
    <x v="1"/>
    <s v="Yellow"/>
    <x v="0"/>
    <n v="3091"/>
    <n v="61820"/>
  </r>
  <r>
    <x v="1"/>
    <s v="Blue"/>
    <x v="0"/>
    <n v="9038"/>
    <n v="180760"/>
  </r>
  <r>
    <x v="2"/>
    <s v="Red"/>
    <x v="0"/>
    <n v="6560"/>
    <n v="32800"/>
  </r>
  <r>
    <x v="2"/>
    <s v="Yellow"/>
    <x v="0"/>
    <n v="6867"/>
    <n v="34335"/>
  </r>
  <r>
    <x v="2"/>
    <s v="Blue"/>
    <x v="0"/>
    <n v="6249"/>
    <n v="31245"/>
  </r>
  <r>
    <x v="0"/>
    <s v="Red"/>
    <x v="1"/>
    <n v="7232"/>
    <n v="72320"/>
  </r>
  <r>
    <x v="0"/>
    <s v="Yellow"/>
    <x v="1"/>
    <n v="1004"/>
    <n v="10040"/>
  </r>
  <r>
    <x v="0"/>
    <s v="Blue"/>
    <x v="1"/>
    <n v="3120"/>
    <n v="31200"/>
  </r>
  <r>
    <x v="1"/>
    <s v="Red"/>
    <x v="1"/>
    <n v="3404"/>
    <n v="68080"/>
  </r>
  <r>
    <x v="1"/>
    <s v="Yellow"/>
    <x v="1"/>
    <n v="6310"/>
    <n v="126200"/>
  </r>
  <r>
    <x v="1"/>
    <s v="Blue"/>
    <x v="1"/>
    <n v="1819"/>
    <n v="36380"/>
  </r>
  <r>
    <x v="2"/>
    <s v="Red"/>
    <x v="1"/>
    <n v="3657"/>
    <n v="18285"/>
  </r>
  <r>
    <x v="2"/>
    <s v="Yellow"/>
    <x v="1"/>
    <n v="7220"/>
    <n v="36100"/>
  </r>
  <r>
    <x v="2"/>
    <s v="Blue"/>
    <x v="1"/>
    <n v="4617"/>
    <n v="23085"/>
  </r>
  <r>
    <x v="0"/>
    <s v="Red"/>
    <x v="2"/>
    <n v="8343"/>
    <n v="83430"/>
  </r>
  <r>
    <x v="0"/>
    <s v="Yellow"/>
    <x v="2"/>
    <n v="6616"/>
    <n v="66160"/>
  </r>
  <r>
    <x v="0"/>
    <s v="Blue"/>
    <x v="2"/>
    <n v="6292"/>
    <n v="62920"/>
  </r>
  <r>
    <x v="1"/>
    <s v="Red"/>
    <x v="2"/>
    <n v="6276"/>
    <n v="125520"/>
  </r>
  <r>
    <x v="1"/>
    <s v="Yellow"/>
    <x v="2"/>
    <n v="3516"/>
    <n v="70320"/>
  </r>
  <r>
    <x v="1"/>
    <s v="Blue"/>
    <x v="2"/>
    <n v="8962"/>
    <n v="179240"/>
  </r>
  <r>
    <x v="2"/>
    <s v="Red"/>
    <x v="2"/>
    <n v="7292"/>
    <n v="36460"/>
  </r>
  <r>
    <x v="2"/>
    <s v="Yellow"/>
    <x v="2"/>
    <n v="5360"/>
    <n v="26800"/>
  </r>
  <r>
    <x v="2"/>
    <s v="Blue"/>
    <x v="2"/>
    <n v="9468"/>
    <n v="4734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27">
  <r>
    <x v="0"/>
    <s v="Red"/>
    <x v="0"/>
    <n v="2228"/>
    <n v="22280"/>
  </r>
  <r>
    <x v="0"/>
    <s v="Yellow"/>
    <x v="0"/>
    <n v="1209"/>
    <n v="12090"/>
  </r>
  <r>
    <x v="0"/>
    <s v="Blue"/>
    <x v="0"/>
    <n v="4768"/>
    <n v="47680"/>
  </r>
  <r>
    <x v="1"/>
    <s v="Red"/>
    <x v="0"/>
    <n v="8540"/>
    <n v="170800"/>
  </r>
  <r>
    <x v="1"/>
    <s v="Yellow"/>
    <x v="0"/>
    <n v="3091"/>
    <n v="61820"/>
  </r>
  <r>
    <x v="1"/>
    <s v="Blue"/>
    <x v="0"/>
    <n v="9038"/>
    <n v="180760"/>
  </r>
  <r>
    <x v="2"/>
    <s v="Red"/>
    <x v="0"/>
    <n v="6560"/>
    <n v="32800"/>
  </r>
  <r>
    <x v="2"/>
    <s v="Yellow"/>
    <x v="0"/>
    <n v="6867"/>
    <n v="34335"/>
  </r>
  <r>
    <x v="2"/>
    <s v="Blue"/>
    <x v="0"/>
    <n v="6249"/>
    <n v="31245"/>
  </r>
  <r>
    <x v="0"/>
    <s v="Red"/>
    <x v="1"/>
    <n v="7232"/>
    <n v="72320"/>
  </r>
  <r>
    <x v="0"/>
    <s v="Yellow"/>
    <x v="1"/>
    <n v="1004"/>
    <n v="10040"/>
  </r>
  <r>
    <x v="0"/>
    <s v="Blue"/>
    <x v="1"/>
    <n v="3120"/>
    <n v="31200"/>
  </r>
  <r>
    <x v="1"/>
    <s v="Red"/>
    <x v="1"/>
    <n v="3404"/>
    <n v="68080"/>
  </r>
  <r>
    <x v="1"/>
    <s v="Yellow"/>
    <x v="1"/>
    <n v="6310"/>
    <n v="126200"/>
  </r>
  <r>
    <x v="1"/>
    <s v="Blue"/>
    <x v="1"/>
    <n v="1819"/>
    <n v="36380"/>
  </r>
  <r>
    <x v="2"/>
    <s v="Red"/>
    <x v="1"/>
    <n v="3657"/>
    <n v="18285"/>
  </r>
  <r>
    <x v="2"/>
    <s v="Yellow"/>
    <x v="1"/>
    <n v="7220"/>
    <n v="36100"/>
  </r>
  <r>
    <x v="2"/>
    <s v="Blue"/>
    <x v="1"/>
    <n v="4617"/>
    <n v="23085"/>
  </r>
  <r>
    <x v="0"/>
    <s v="Red"/>
    <x v="2"/>
    <n v="8343"/>
    <n v="83430"/>
  </r>
  <r>
    <x v="0"/>
    <s v="Yellow"/>
    <x v="2"/>
    <n v="6616"/>
    <n v="66160"/>
  </r>
  <r>
    <x v="0"/>
    <s v="Blue"/>
    <x v="2"/>
    <n v="6292"/>
    <n v="62920"/>
  </r>
  <r>
    <x v="1"/>
    <s v="Red"/>
    <x v="2"/>
    <n v="6276"/>
    <n v="125520"/>
  </r>
  <r>
    <x v="1"/>
    <s v="Yellow"/>
    <x v="2"/>
    <n v="3516"/>
    <n v="70320"/>
  </r>
  <r>
    <x v="1"/>
    <s v="Blue"/>
    <x v="2"/>
    <n v="8962"/>
    <n v="179240"/>
  </r>
  <r>
    <x v="2"/>
    <s v="Red"/>
    <x v="2"/>
    <n v="7292"/>
    <n v="36460"/>
  </r>
  <r>
    <x v="2"/>
    <s v="Yellow"/>
    <x v="2"/>
    <n v="5360"/>
    <n v="26800"/>
  </r>
  <r>
    <x v="2"/>
    <s v="Blue"/>
    <x v="2"/>
    <n v="9468"/>
    <n v="473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2300-000000000000}" name="PivotTable3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H7:I12" firstHeaderRow="1" firstDataRow="1" firstDataCol="1"/>
  <pivotFields count="4">
    <pivotField axis="axisRow" showAll="0">
      <items count="5">
        <item x="0"/>
        <item x="2"/>
        <item x="3"/>
        <item x="1"/>
        <item t="default"/>
      </items>
    </pivotField>
    <pivotField showAll="0"/>
    <pivotField numFmtId="6" showAll="0"/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Quantity" fld="3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2500-000000000000}" name="PivotTable2" cacheId="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3:B7" firstHeaderRow="1" firstDataRow="1" firstDataCol="1" rowPageCount="1" colPageCount="1"/>
  <pivotFields count="5">
    <pivotField axis="axisRow" showAll="0">
      <items count="4">
        <item x="2"/>
        <item x="1"/>
        <item x="0"/>
        <item t="default"/>
      </items>
    </pivotField>
    <pivotField showAll="0"/>
    <pivotField axis="axisPage" multipleItemSelectionAllowed="1" showAll="0">
      <items count="4">
        <item h="1" x="1"/>
        <item x="0"/>
        <item h="1" x="2"/>
        <item t="default"/>
      </items>
    </pivotField>
    <pivotField numFmtId="166" showAll="0"/>
    <pivotField dataField="1" numFmtId="166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2" hier="-1"/>
  </pageFields>
  <dataFields count="1">
    <dataField name="Sum of Sales Revenue" fld="4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600-000000000000}" name="PivotTable1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5:B20" firstHeaderRow="1" firstDataRow="1" firstDataCol="1"/>
  <pivotFields count="4">
    <pivotField axis="axisRow" showAll="0">
      <items count="5">
        <item x="0"/>
        <item x="2"/>
        <item x="3"/>
        <item x="1"/>
        <item t="default"/>
      </items>
    </pivotField>
    <pivotField showAll="0"/>
    <pivotField numFmtId="6" showAll="0"/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Quantity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700-000000000000}" name="PivotTable1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I5:M10" firstHeaderRow="1" firstDataRow="2" firstDataCol="1"/>
  <pivotFields count="5">
    <pivotField axis="axisCol" showAll="0">
      <items count="4">
        <item x="2"/>
        <item x="1"/>
        <item x="0"/>
        <item t="default"/>
      </items>
    </pivotField>
    <pivotField showAll="0"/>
    <pivotField axis="axisRow" showAll="0">
      <items count="4">
        <item x="1"/>
        <item x="0"/>
        <item x="2"/>
        <item t="default"/>
      </items>
    </pivotField>
    <pivotField numFmtId="166" showAll="0"/>
    <pivotField dataField="1" numFmtId="166" showAll="0"/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Sum of Sales Revenu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00000000-0016-0000-0000-000000000000}" autoFormatId="16" applyNumberFormats="0" applyBorderFormats="0" applyFontFormats="0" applyPatternFormats="0" applyAlignmentFormats="0" applyWidthHeightFormats="0">
  <queryTableRefresh nextId="3">
    <queryTableFields count="2">
      <queryTableField id="1" name="Column1" tableColumnId="1"/>
      <queryTableField id="2" name="Column2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Data_Import__3" displayName="Data_Import__3" ref="B5:C8" tableType="queryTable" totalsRowShown="0">
  <autoFilter ref="B5:C8" xr:uid="{00000000-0009-0000-0100-000002000000}"/>
  <tableColumns count="2">
    <tableColumn id="1" xr3:uid="{00000000-0010-0000-0000-000001000000}" uniqueName="1" name="Column1" queryTableFieldId="1" dataDxfId="0"/>
    <tableColumn id="2" xr3:uid="{00000000-0010-0000-0000-000002000000}" uniqueName="2" name="Column2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E10"/>
  <sheetViews>
    <sheetView workbookViewId="0">
      <selection activeCell="B16" sqref="B16"/>
    </sheetView>
  </sheetViews>
  <sheetFormatPr defaultRowHeight="15" x14ac:dyDescent="0.25"/>
  <sheetData>
    <row r="1" spans="1:5" x14ac:dyDescent="0.25">
      <c r="A1" s="1" t="s">
        <v>21</v>
      </c>
      <c r="B1" s="1"/>
      <c r="C1" s="1"/>
      <c r="D1" s="1"/>
      <c r="E1" s="1"/>
    </row>
    <row r="3" spans="1:5" x14ac:dyDescent="0.25">
      <c r="A3" s="124" t="s">
        <v>20</v>
      </c>
      <c r="B3" s="124"/>
      <c r="C3" s="124"/>
      <c r="D3" s="124"/>
    </row>
    <row r="5" spans="1:5" x14ac:dyDescent="0.25">
      <c r="C5" t="s">
        <v>19</v>
      </c>
    </row>
    <row r="6" spans="1:5" x14ac:dyDescent="0.25">
      <c r="A6">
        <v>16</v>
      </c>
      <c r="B6">
        <v>4</v>
      </c>
      <c r="C6">
        <f>A6/B6</f>
        <v>4</v>
      </c>
    </row>
    <row r="7" spans="1:5" x14ac:dyDescent="0.25">
      <c r="A7">
        <v>2</v>
      </c>
      <c r="B7">
        <v>2</v>
      </c>
      <c r="C7">
        <f>A7+B7</f>
        <v>4</v>
      </c>
    </row>
    <row r="8" spans="1:5" x14ac:dyDescent="0.25">
      <c r="A8">
        <v>8</v>
      </c>
      <c r="B8">
        <v>2</v>
      </c>
      <c r="C8">
        <f>A8/B8</f>
        <v>4</v>
      </c>
    </row>
    <row r="9" spans="1:5" x14ac:dyDescent="0.25">
      <c r="A9">
        <v>4</v>
      </c>
      <c r="B9">
        <v>1</v>
      </c>
      <c r="C9">
        <f>A9*B9</f>
        <v>4</v>
      </c>
    </row>
    <row r="10" spans="1:5" x14ac:dyDescent="0.25">
      <c r="A10">
        <v>7</v>
      </c>
      <c r="B10">
        <v>3</v>
      </c>
      <c r="C10">
        <f>A10-B10</f>
        <v>4</v>
      </c>
    </row>
  </sheetData>
  <mergeCells count="1">
    <mergeCell ref="A3:D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3:B9"/>
  <sheetViews>
    <sheetView workbookViewId="0">
      <selection activeCell="C14" sqref="C14"/>
    </sheetView>
  </sheetViews>
  <sheetFormatPr defaultRowHeight="15" x14ac:dyDescent="0.25"/>
  <cols>
    <col min="1" max="1" width="16.5703125" bestFit="1" customWidth="1"/>
  </cols>
  <sheetData>
    <row r="3" spans="1:2" x14ac:dyDescent="0.25">
      <c r="B3" t="s">
        <v>188</v>
      </c>
    </row>
    <row r="4" spans="1:2" x14ac:dyDescent="0.25">
      <c r="A4" t="s">
        <v>111</v>
      </c>
      <c r="B4">
        <v>98000</v>
      </c>
    </row>
    <row r="5" spans="1:2" x14ac:dyDescent="0.25">
      <c r="A5" t="s">
        <v>189</v>
      </c>
      <c r="B5">
        <v>-21000</v>
      </c>
    </row>
    <row r="6" spans="1:2" x14ac:dyDescent="0.25">
      <c r="A6" t="s">
        <v>190</v>
      </c>
      <c r="B6">
        <v>-27000</v>
      </c>
    </row>
    <row r="7" spans="1:2" x14ac:dyDescent="0.25">
      <c r="A7" t="s">
        <v>191</v>
      </c>
      <c r="B7">
        <v>-14500</v>
      </c>
    </row>
    <row r="8" spans="1:2" x14ac:dyDescent="0.25">
      <c r="A8" t="s">
        <v>192</v>
      </c>
      <c r="B8">
        <v>-9000</v>
      </c>
    </row>
    <row r="9" spans="1:2" x14ac:dyDescent="0.25">
      <c r="A9" t="s">
        <v>84</v>
      </c>
      <c r="B9">
        <f>SUM(B4:B8)</f>
        <v>26500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G29"/>
  <sheetViews>
    <sheetView workbookViewId="0">
      <selection activeCell="D20" sqref="D20"/>
    </sheetView>
  </sheetViews>
  <sheetFormatPr defaultRowHeight="15" x14ac:dyDescent="0.25"/>
  <cols>
    <col min="1" max="1" width="17.5703125" bestFit="1" customWidth="1"/>
    <col min="2" max="7" width="18.5703125" customWidth="1"/>
  </cols>
  <sheetData>
    <row r="1" spans="1:7" x14ac:dyDescent="0.25">
      <c r="A1" s="1" t="s">
        <v>33</v>
      </c>
    </row>
    <row r="2" spans="1:7" x14ac:dyDescent="0.25">
      <c r="A2" s="1" t="s">
        <v>32</v>
      </c>
    </row>
    <row r="4" spans="1:7" x14ac:dyDescent="0.25">
      <c r="B4" t="s">
        <v>31</v>
      </c>
      <c r="C4" t="s">
        <v>30</v>
      </c>
      <c r="D4" t="s">
        <v>29</v>
      </c>
      <c r="E4" t="s">
        <v>28</v>
      </c>
      <c r="F4" t="s">
        <v>27</v>
      </c>
      <c r="G4" t="s">
        <v>26</v>
      </c>
    </row>
    <row r="5" spans="1:7" x14ac:dyDescent="0.25">
      <c r="A5" t="s">
        <v>25</v>
      </c>
      <c r="B5">
        <v>67</v>
      </c>
      <c r="C5">
        <v>6</v>
      </c>
      <c r="D5">
        <v>13</v>
      </c>
      <c r="E5">
        <v>45</v>
      </c>
      <c r="F5">
        <v>23</v>
      </c>
      <c r="G5">
        <v>54</v>
      </c>
    </row>
    <row r="6" spans="1:7" x14ac:dyDescent="0.25">
      <c r="A6" t="s">
        <v>227</v>
      </c>
      <c r="B6">
        <v>56</v>
      </c>
      <c r="C6">
        <v>8</v>
      </c>
      <c r="D6">
        <v>46</v>
      </c>
      <c r="E6">
        <v>57</v>
      </c>
      <c r="F6">
        <v>32</v>
      </c>
      <c r="G6">
        <v>60</v>
      </c>
    </row>
    <row r="7" spans="1:7" x14ac:dyDescent="0.25">
      <c r="A7" t="s">
        <v>24</v>
      </c>
      <c r="B7">
        <v>41</v>
      </c>
      <c r="C7">
        <v>11</v>
      </c>
      <c r="D7">
        <v>68</v>
      </c>
      <c r="E7">
        <v>52</v>
      </c>
      <c r="F7">
        <v>14</v>
      </c>
      <c r="G7">
        <v>92</v>
      </c>
    </row>
    <row r="8" spans="1:7" x14ac:dyDescent="0.25">
      <c r="A8" t="s">
        <v>228</v>
      </c>
      <c r="B8">
        <v>34</v>
      </c>
      <c r="C8">
        <v>9</v>
      </c>
      <c r="D8">
        <v>32</v>
      </c>
      <c r="E8">
        <v>56</v>
      </c>
      <c r="F8">
        <v>22</v>
      </c>
      <c r="G8">
        <v>54</v>
      </c>
    </row>
    <row r="9" spans="1:7" x14ac:dyDescent="0.25">
      <c r="A9" t="s">
        <v>229</v>
      </c>
      <c r="B9">
        <v>89</v>
      </c>
      <c r="C9">
        <v>54</v>
      </c>
      <c r="D9">
        <v>8</v>
      </c>
      <c r="E9">
        <v>43</v>
      </c>
      <c r="F9">
        <v>88</v>
      </c>
      <c r="G9">
        <v>17</v>
      </c>
    </row>
    <row r="10" spans="1:7" x14ac:dyDescent="0.25">
      <c r="A10" t="s">
        <v>230</v>
      </c>
      <c r="B10">
        <v>20</v>
      </c>
      <c r="C10">
        <v>23</v>
      </c>
      <c r="D10">
        <v>33</v>
      </c>
      <c r="E10">
        <v>50</v>
      </c>
      <c r="F10">
        <v>16</v>
      </c>
      <c r="G10">
        <v>10</v>
      </c>
    </row>
    <row r="12" spans="1:7" x14ac:dyDescent="0.25">
      <c r="A12" t="s">
        <v>23</v>
      </c>
      <c r="B12">
        <f>AVERAGE(B5:B11)</f>
        <v>51.166666666666664</v>
      </c>
      <c r="C12">
        <f t="shared" ref="C12:G12" si="0">AVERAGE(C5:C11)</f>
        <v>18.5</v>
      </c>
      <c r="D12">
        <f t="shared" si="0"/>
        <v>33.333333333333336</v>
      </c>
      <c r="E12">
        <f t="shared" si="0"/>
        <v>50.5</v>
      </c>
      <c r="F12">
        <f t="shared" si="0"/>
        <v>32.5</v>
      </c>
      <c r="G12">
        <f t="shared" si="0"/>
        <v>47.833333333333336</v>
      </c>
    </row>
    <row r="14" spans="1:7" x14ac:dyDescent="0.25">
      <c r="A14" t="s">
        <v>22</v>
      </c>
      <c r="B14">
        <f>MAX(B5:B10)</f>
        <v>89</v>
      </c>
      <c r="C14">
        <f t="shared" ref="C14:G14" si="1">MAX(C5:C10)</f>
        <v>54</v>
      </c>
      <c r="D14">
        <f t="shared" si="1"/>
        <v>68</v>
      </c>
      <c r="E14">
        <f t="shared" si="1"/>
        <v>57</v>
      </c>
      <c r="F14">
        <f t="shared" si="1"/>
        <v>88</v>
      </c>
      <c r="G14">
        <f t="shared" si="1"/>
        <v>92</v>
      </c>
    </row>
    <row r="16" spans="1:7" x14ac:dyDescent="0.25">
      <c r="A16" s="6"/>
    </row>
    <row r="17" spans="1:1" x14ac:dyDescent="0.25">
      <c r="A17" s="3"/>
    </row>
    <row r="18" spans="1:1" x14ac:dyDescent="0.25">
      <c r="A18" s="3"/>
    </row>
    <row r="26" spans="1:1" x14ac:dyDescent="0.25">
      <c r="A26" s="1"/>
    </row>
    <row r="28" spans="1:1" x14ac:dyDescent="0.25">
      <c r="A28" s="1"/>
    </row>
    <row r="29" spans="1:1" x14ac:dyDescent="0.25">
      <c r="A29" s="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16"/>
  <sheetViews>
    <sheetView workbookViewId="0">
      <selection activeCell="F29" sqref="F29"/>
    </sheetView>
  </sheetViews>
  <sheetFormatPr defaultRowHeight="15" x14ac:dyDescent="0.25"/>
  <cols>
    <col min="1" max="1" width="6.85546875" customWidth="1"/>
  </cols>
  <sheetData>
    <row r="1" spans="1:3" x14ac:dyDescent="0.25">
      <c r="A1" s="1" t="s">
        <v>71</v>
      </c>
    </row>
    <row r="2" spans="1:3" x14ac:dyDescent="0.25">
      <c r="C2" t="s">
        <v>72</v>
      </c>
    </row>
    <row r="4" spans="1:3" x14ac:dyDescent="0.25">
      <c r="A4" t="s">
        <v>69</v>
      </c>
      <c r="B4" t="s">
        <v>70</v>
      </c>
    </row>
    <row r="5" spans="1:3" x14ac:dyDescent="0.25">
      <c r="A5">
        <v>1</v>
      </c>
      <c r="B5">
        <v>28</v>
      </c>
    </row>
    <row r="6" spans="1:3" x14ac:dyDescent="0.25">
      <c r="A6">
        <v>2</v>
      </c>
      <c r="B6">
        <v>29</v>
      </c>
      <c r="C6">
        <f>AVERAGE(B5:B7)</f>
        <v>29.666666666666668</v>
      </c>
    </row>
    <row r="7" spans="1:3" x14ac:dyDescent="0.25">
      <c r="A7">
        <v>3</v>
      </c>
      <c r="B7">
        <v>32</v>
      </c>
      <c r="C7">
        <f t="shared" ref="C7:C15" si="0">AVERAGE(B6:B8)</f>
        <v>31.666666666666668</v>
      </c>
    </row>
    <row r="8" spans="1:3" x14ac:dyDescent="0.25">
      <c r="A8">
        <v>4</v>
      </c>
      <c r="B8">
        <v>34</v>
      </c>
      <c r="C8">
        <f t="shared" si="0"/>
        <v>32.666666666666664</v>
      </c>
    </row>
    <row r="9" spans="1:3" x14ac:dyDescent="0.25">
      <c r="A9">
        <v>5</v>
      </c>
      <c r="B9">
        <v>32</v>
      </c>
      <c r="C9">
        <f t="shared" si="0"/>
        <v>34</v>
      </c>
    </row>
    <row r="10" spans="1:3" x14ac:dyDescent="0.25">
      <c r="A10">
        <v>6</v>
      </c>
      <c r="B10">
        <v>36</v>
      </c>
      <c r="C10">
        <f t="shared" si="0"/>
        <v>35</v>
      </c>
    </row>
    <row r="11" spans="1:3" x14ac:dyDescent="0.25">
      <c r="A11">
        <v>7</v>
      </c>
      <c r="B11">
        <v>37</v>
      </c>
      <c r="C11">
        <f t="shared" si="0"/>
        <v>37.333333333333336</v>
      </c>
    </row>
    <row r="12" spans="1:3" x14ac:dyDescent="0.25">
      <c r="A12">
        <v>8</v>
      </c>
      <c r="B12">
        <v>39</v>
      </c>
      <c r="C12">
        <f t="shared" si="0"/>
        <v>37.333333333333336</v>
      </c>
    </row>
    <row r="13" spans="1:3" x14ac:dyDescent="0.25">
      <c r="A13">
        <v>9</v>
      </c>
      <c r="B13">
        <v>36</v>
      </c>
      <c r="C13">
        <f t="shared" si="0"/>
        <v>38.333333333333336</v>
      </c>
    </row>
    <row r="14" spans="1:3" x14ac:dyDescent="0.25">
      <c r="A14">
        <v>10</v>
      </c>
      <c r="B14">
        <v>40</v>
      </c>
      <c r="C14">
        <f t="shared" si="0"/>
        <v>39.333333333333336</v>
      </c>
    </row>
    <row r="15" spans="1:3" x14ac:dyDescent="0.25">
      <c r="A15">
        <v>11</v>
      </c>
      <c r="B15">
        <v>42</v>
      </c>
      <c r="C15">
        <f t="shared" si="0"/>
        <v>41.666666666666664</v>
      </c>
    </row>
    <row r="16" spans="1:3" x14ac:dyDescent="0.25">
      <c r="A16">
        <v>12</v>
      </c>
      <c r="B16">
        <v>43</v>
      </c>
    </row>
  </sheetData>
  <dataValidations count="1">
    <dataValidation type="whole" allowBlank="1" showInputMessage="1" showErrorMessage="1" sqref="B5:B16" xr:uid="{00000000-0002-0000-0E00-000000000000}">
      <formula1>20</formula1>
      <formula2>25</formula2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14"/>
  <sheetViews>
    <sheetView workbookViewId="0">
      <selection activeCell="E19" sqref="E19"/>
    </sheetView>
  </sheetViews>
  <sheetFormatPr defaultRowHeight="15" x14ac:dyDescent="0.25"/>
  <cols>
    <col min="1" max="1" width="9.140625" style="31"/>
    <col min="3" max="3" width="36.5703125" bestFit="1" customWidth="1"/>
  </cols>
  <sheetData>
    <row r="1" spans="1:4" ht="15.75" x14ac:dyDescent="0.25">
      <c r="A1" s="30" t="s">
        <v>124</v>
      </c>
    </row>
    <row r="3" spans="1:4" x14ac:dyDescent="0.25">
      <c r="A3" s="31" t="s">
        <v>125</v>
      </c>
      <c r="C3" t="s">
        <v>126</v>
      </c>
      <c r="D3" s="32">
        <f>COUNTIF(A3:A7,"Ham")</f>
        <v>3</v>
      </c>
    </row>
    <row r="4" spans="1:4" x14ac:dyDescent="0.25">
      <c r="A4" s="31" t="s">
        <v>125</v>
      </c>
    </row>
    <row r="5" spans="1:4" x14ac:dyDescent="0.25">
      <c r="A5" s="31" t="s">
        <v>125</v>
      </c>
    </row>
    <row r="6" spans="1:4" x14ac:dyDescent="0.25">
      <c r="A6" s="31" t="s">
        <v>127</v>
      </c>
    </row>
    <row r="7" spans="1:4" x14ac:dyDescent="0.25">
      <c r="A7" s="31" t="s">
        <v>127</v>
      </c>
    </row>
    <row r="10" spans="1:4" x14ac:dyDescent="0.25">
      <c r="A10" s="31">
        <v>90</v>
      </c>
      <c r="C10" t="s">
        <v>128</v>
      </c>
      <c r="D10" s="32">
        <f>COUNTIF(A10:A14,"&gt;70")</f>
        <v>3</v>
      </c>
    </row>
    <row r="11" spans="1:4" x14ac:dyDescent="0.25">
      <c r="A11" s="31">
        <v>70</v>
      </c>
    </row>
    <row r="12" spans="1:4" x14ac:dyDescent="0.25">
      <c r="A12" s="31">
        <v>88</v>
      </c>
      <c r="C12" t="s">
        <v>129</v>
      </c>
      <c r="D12" s="32">
        <f>COUNT(A:A)</f>
        <v>5</v>
      </c>
    </row>
    <row r="13" spans="1:4" x14ac:dyDescent="0.25">
      <c r="A13" s="31">
        <v>72</v>
      </c>
    </row>
    <row r="14" spans="1:4" x14ac:dyDescent="0.25">
      <c r="A14" s="31">
        <v>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12"/>
  <sheetViews>
    <sheetView workbookViewId="0">
      <selection activeCell="C16" sqref="C16"/>
    </sheetView>
  </sheetViews>
  <sheetFormatPr defaultRowHeight="15" x14ac:dyDescent="0.25"/>
  <cols>
    <col min="1" max="1" width="12.140625" style="31" bestFit="1" customWidth="1"/>
    <col min="2" max="2" width="11.85546875" bestFit="1" customWidth="1"/>
    <col min="3" max="3" width="36.5703125" bestFit="1" customWidth="1"/>
  </cols>
  <sheetData>
    <row r="1" spans="1:2" ht="15.75" x14ac:dyDescent="0.25">
      <c r="A1" s="30" t="s">
        <v>130</v>
      </c>
    </row>
    <row r="2" spans="1:2" x14ac:dyDescent="0.25">
      <c r="A2" s="5"/>
      <c r="B2" s="5"/>
    </row>
    <row r="3" spans="1:2" x14ac:dyDescent="0.25">
      <c r="A3" s="5" t="s">
        <v>131</v>
      </c>
      <c r="B3" s="5"/>
    </row>
    <row r="4" spans="1:2" x14ac:dyDescent="0.25">
      <c r="A4" s="5"/>
      <c r="B4" s="5"/>
    </row>
    <row r="5" spans="1:2" x14ac:dyDescent="0.25">
      <c r="A5" s="5" t="s">
        <v>132</v>
      </c>
      <c r="B5" s="5" t="s">
        <v>133</v>
      </c>
    </row>
    <row r="6" spans="1:2" x14ac:dyDescent="0.25">
      <c r="A6" s="31">
        <v>26</v>
      </c>
      <c r="B6">
        <v>6566</v>
      </c>
    </row>
    <row r="7" spans="1:2" x14ac:dyDescent="0.25">
      <c r="A7" s="31">
        <v>30</v>
      </c>
      <c r="B7">
        <v>6510</v>
      </c>
    </row>
    <row r="8" spans="1:2" x14ac:dyDescent="0.25">
      <c r="A8" s="31">
        <v>33</v>
      </c>
      <c r="B8">
        <v>6800</v>
      </c>
    </row>
    <row r="9" spans="1:2" x14ac:dyDescent="0.25">
      <c r="A9" s="31">
        <v>44</v>
      </c>
      <c r="B9">
        <v>6985</v>
      </c>
    </row>
    <row r="10" spans="1:2" x14ac:dyDescent="0.25">
      <c r="A10" s="31">
        <v>48</v>
      </c>
      <c r="B10">
        <v>7380</v>
      </c>
    </row>
    <row r="11" spans="1:2" x14ac:dyDescent="0.25">
      <c r="A11" s="31">
        <v>50</v>
      </c>
      <c r="B11">
        <v>7310</v>
      </c>
    </row>
    <row r="12" spans="1:2" x14ac:dyDescent="0.25">
      <c r="A12" s="33">
        <v>40</v>
      </c>
      <c r="B12" s="34">
        <f>FORECAST(A12,B6:B11,A6:A11)</f>
        <v>6977.3147605083086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G27"/>
  <sheetViews>
    <sheetView workbookViewId="0">
      <selection activeCell="C34" sqref="C34"/>
    </sheetView>
  </sheetViews>
  <sheetFormatPr defaultRowHeight="15" x14ac:dyDescent="0.25"/>
  <cols>
    <col min="1" max="1" width="17.5703125" bestFit="1" customWidth="1"/>
    <col min="2" max="7" width="18.5703125" customWidth="1"/>
  </cols>
  <sheetData>
    <row r="1" spans="1:7" x14ac:dyDescent="0.25">
      <c r="A1" s="1" t="s">
        <v>68</v>
      </c>
    </row>
    <row r="2" spans="1:7" x14ac:dyDescent="0.25">
      <c r="A2" s="1" t="s">
        <v>73</v>
      </c>
    </row>
    <row r="4" spans="1:7" x14ac:dyDescent="0.25">
      <c r="B4" t="s">
        <v>31</v>
      </c>
      <c r="C4" t="s">
        <v>30</v>
      </c>
      <c r="D4" t="s">
        <v>29</v>
      </c>
      <c r="E4" t="s">
        <v>28</v>
      </c>
      <c r="F4" t="s">
        <v>27</v>
      </c>
      <c r="G4" t="s">
        <v>26</v>
      </c>
    </row>
    <row r="5" spans="1:7" x14ac:dyDescent="0.25">
      <c r="A5" t="s">
        <v>25</v>
      </c>
      <c r="B5">
        <v>67</v>
      </c>
      <c r="C5">
        <v>6</v>
      </c>
      <c r="D5">
        <v>13</v>
      </c>
      <c r="E5">
        <v>45</v>
      </c>
      <c r="F5">
        <v>23</v>
      </c>
      <c r="G5">
        <v>54</v>
      </c>
    </row>
    <row r="6" spans="1:7" x14ac:dyDescent="0.25">
      <c r="A6" t="s">
        <v>227</v>
      </c>
      <c r="B6">
        <v>56</v>
      </c>
      <c r="C6">
        <v>8</v>
      </c>
      <c r="D6">
        <v>46</v>
      </c>
      <c r="E6">
        <v>57</v>
      </c>
      <c r="F6">
        <v>32</v>
      </c>
      <c r="G6">
        <v>60</v>
      </c>
    </row>
    <row r="7" spans="1:7" x14ac:dyDescent="0.25">
      <c r="A7" t="s">
        <v>24</v>
      </c>
      <c r="B7">
        <v>41</v>
      </c>
      <c r="C7">
        <v>11</v>
      </c>
      <c r="D7">
        <v>68</v>
      </c>
      <c r="E7">
        <v>52</v>
      </c>
      <c r="F7">
        <v>14</v>
      </c>
      <c r="G7">
        <v>92</v>
      </c>
    </row>
    <row r="8" spans="1:7" x14ac:dyDescent="0.25">
      <c r="A8" t="s">
        <v>228</v>
      </c>
      <c r="B8">
        <v>34</v>
      </c>
      <c r="C8">
        <v>9</v>
      </c>
      <c r="D8">
        <v>32</v>
      </c>
      <c r="E8">
        <v>56</v>
      </c>
      <c r="F8">
        <v>22</v>
      </c>
      <c r="G8">
        <v>54</v>
      </c>
    </row>
    <row r="9" spans="1:7" x14ac:dyDescent="0.25">
      <c r="A9" t="s">
        <v>229</v>
      </c>
      <c r="B9">
        <v>89</v>
      </c>
      <c r="C9">
        <v>54</v>
      </c>
      <c r="D9">
        <v>8</v>
      </c>
      <c r="E9">
        <v>43</v>
      </c>
      <c r="F9">
        <v>88</v>
      </c>
      <c r="G9">
        <v>17</v>
      </c>
    </row>
    <row r="10" spans="1:7" x14ac:dyDescent="0.25">
      <c r="A10" t="s">
        <v>230</v>
      </c>
      <c r="B10">
        <v>20</v>
      </c>
      <c r="C10">
        <v>23</v>
      </c>
      <c r="D10">
        <v>33</v>
      </c>
      <c r="E10">
        <v>50</v>
      </c>
      <c r="F10">
        <v>16</v>
      </c>
      <c r="G10">
        <v>10</v>
      </c>
    </row>
    <row r="13" spans="1:7" x14ac:dyDescent="0.25">
      <c r="B13" t="s">
        <v>31</v>
      </c>
      <c r="C13" t="s">
        <v>30</v>
      </c>
      <c r="D13" t="s">
        <v>29</v>
      </c>
      <c r="E13" t="s">
        <v>28</v>
      </c>
      <c r="F13" t="s">
        <v>27</v>
      </c>
      <c r="G13" t="s">
        <v>26</v>
      </c>
    </row>
    <row r="14" spans="1:7" x14ac:dyDescent="0.25">
      <c r="A14" t="s">
        <v>25</v>
      </c>
      <c r="B14" t="str">
        <f>IF(B5&gt;50,"Pass","Fail")</f>
        <v>Pass</v>
      </c>
      <c r="C14" t="str">
        <f t="shared" ref="C14:G14" si="0">IF(C5&gt;50,"Pass","Fail")</f>
        <v>Fail</v>
      </c>
      <c r="D14" t="str">
        <f t="shared" si="0"/>
        <v>Fail</v>
      </c>
      <c r="E14" t="str">
        <f t="shared" si="0"/>
        <v>Fail</v>
      </c>
      <c r="F14" t="str">
        <f t="shared" si="0"/>
        <v>Fail</v>
      </c>
      <c r="G14" t="str">
        <f t="shared" si="0"/>
        <v>Pass</v>
      </c>
    </row>
    <row r="15" spans="1:7" x14ac:dyDescent="0.25">
      <c r="A15" t="s">
        <v>227</v>
      </c>
      <c r="B15" t="str">
        <f t="shared" ref="B15:G19" si="1">IF(B6&gt;50,"Pass","Fail")</f>
        <v>Pass</v>
      </c>
      <c r="C15" t="str">
        <f t="shared" si="1"/>
        <v>Fail</v>
      </c>
      <c r="D15" t="str">
        <f t="shared" si="1"/>
        <v>Fail</v>
      </c>
      <c r="E15" t="str">
        <f t="shared" si="1"/>
        <v>Pass</v>
      </c>
      <c r="F15" t="str">
        <f t="shared" si="1"/>
        <v>Fail</v>
      </c>
      <c r="G15" t="str">
        <f t="shared" si="1"/>
        <v>Pass</v>
      </c>
    </row>
    <row r="16" spans="1:7" x14ac:dyDescent="0.25">
      <c r="A16" t="s">
        <v>24</v>
      </c>
      <c r="B16" t="str">
        <f t="shared" si="1"/>
        <v>Fail</v>
      </c>
      <c r="C16" t="str">
        <f t="shared" si="1"/>
        <v>Fail</v>
      </c>
      <c r="D16" t="str">
        <f t="shared" si="1"/>
        <v>Pass</v>
      </c>
      <c r="E16" t="str">
        <f t="shared" si="1"/>
        <v>Pass</v>
      </c>
      <c r="F16" t="str">
        <f t="shared" si="1"/>
        <v>Fail</v>
      </c>
      <c r="G16" t="str">
        <f t="shared" si="1"/>
        <v>Pass</v>
      </c>
    </row>
    <row r="17" spans="1:7" x14ac:dyDescent="0.25">
      <c r="A17" t="s">
        <v>228</v>
      </c>
      <c r="B17" t="str">
        <f t="shared" si="1"/>
        <v>Fail</v>
      </c>
      <c r="C17" t="str">
        <f t="shared" si="1"/>
        <v>Fail</v>
      </c>
      <c r="D17" t="str">
        <f t="shared" si="1"/>
        <v>Fail</v>
      </c>
      <c r="E17" t="str">
        <f t="shared" si="1"/>
        <v>Pass</v>
      </c>
      <c r="F17" t="str">
        <f t="shared" si="1"/>
        <v>Fail</v>
      </c>
      <c r="G17" t="str">
        <f t="shared" si="1"/>
        <v>Pass</v>
      </c>
    </row>
    <row r="18" spans="1:7" x14ac:dyDescent="0.25">
      <c r="A18" t="s">
        <v>229</v>
      </c>
      <c r="B18" t="str">
        <f t="shared" si="1"/>
        <v>Pass</v>
      </c>
      <c r="C18" t="str">
        <f t="shared" si="1"/>
        <v>Pass</v>
      </c>
      <c r="D18" t="str">
        <f t="shared" si="1"/>
        <v>Fail</v>
      </c>
      <c r="E18" t="str">
        <f t="shared" si="1"/>
        <v>Fail</v>
      </c>
      <c r="F18" t="str">
        <f t="shared" si="1"/>
        <v>Pass</v>
      </c>
      <c r="G18" t="str">
        <f t="shared" si="1"/>
        <v>Fail</v>
      </c>
    </row>
    <row r="19" spans="1:7" x14ac:dyDescent="0.25">
      <c r="A19" t="s">
        <v>230</v>
      </c>
      <c r="B19" t="str">
        <f t="shared" si="1"/>
        <v>Fail</v>
      </c>
      <c r="C19" t="str">
        <f t="shared" si="1"/>
        <v>Fail</v>
      </c>
      <c r="D19" t="str">
        <f t="shared" si="1"/>
        <v>Fail</v>
      </c>
      <c r="E19" t="str">
        <f t="shared" si="1"/>
        <v>Fail</v>
      </c>
      <c r="F19" t="str">
        <f t="shared" si="1"/>
        <v>Fail</v>
      </c>
      <c r="G19" t="str">
        <f t="shared" si="1"/>
        <v>Fail</v>
      </c>
    </row>
    <row r="26" spans="1:7" x14ac:dyDescent="0.25">
      <c r="A26" s="1"/>
    </row>
    <row r="27" spans="1:7" x14ac:dyDescent="0.25">
      <c r="G27" s="3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4"/>
  <dimension ref="A1:I12"/>
  <sheetViews>
    <sheetView workbookViewId="0">
      <selection activeCell="E34" sqref="E34"/>
    </sheetView>
  </sheetViews>
  <sheetFormatPr defaultRowHeight="15" x14ac:dyDescent="0.25"/>
  <cols>
    <col min="8" max="8" width="12.5703125" bestFit="1" customWidth="1"/>
    <col min="9" max="9" width="14.85546875" bestFit="1" customWidth="1"/>
  </cols>
  <sheetData>
    <row r="1" spans="1:9" x14ac:dyDescent="0.25">
      <c r="A1" s="44" t="s">
        <v>337</v>
      </c>
      <c r="B1" s="1"/>
    </row>
    <row r="3" spans="1:9" x14ac:dyDescent="0.25">
      <c r="A3" s="1" t="s">
        <v>55</v>
      </c>
      <c r="B3" s="1" t="s">
        <v>87</v>
      </c>
      <c r="C3" s="1" t="s">
        <v>54</v>
      </c>
      <c r="D3" s="1" t="s">
        <v>53</v>
      </c>
    </row>
    <row r="4" spans="1:9" x14ac:dyDescent="0.25">
      <c r="A4" t="s">
        <v>52</v>
      </c>
      <c r="B4" t="s">
        <v>88</v>
      </c>
      <c r="C4" s="4">
        <v>10</v>
      </c>
      <c r="D4">
        <v>2</v>
      </c>
    </row>
    <row r="5" spans="1:9" x14ac:dyDescent="0.25">
      <c r="A5" t="s">
        <v>49</v>
      </c>
      <c r="B5" t="s">
        <v>88</v>
      </c>
      <c r="C5" s="4">
        <v>12</v>
      </c>
      <c r="D5">
        <v>3</v>
      </c>
    </row>
    <row r="6" spans="1:9" x14ac:dyDescent="0.25">
      <c r="A6" t="s">
        <v>50</v>
      </c>
      <c r="B6" t="s">
        <v>89</v>
      </c>
      <c r="C6" s="4">
        <v>27</v>
      </c>
      <c r="D6">
        <v>6</v>
      </c>
    </row>
    <row r="7" spans="1:9" x14ac:dyDescent="0.25">
      <c r="A7" t="s">
        <v>50</v>
      </c>
      <c r="B7" t="s">
        <v>88</v>
      </c>
      <c r="C7" s="4">
        <v>25</v>
      </c>
      <c r="D7">
        <v>4</v>
      </c>
      <c r="H7" s="39" t="s">
        <v>232</v>
      </c>
      <c r="I7" t="s">
        <v>234</v>
      </c>
    </row>
    <row r="8" spans="1:9" x14ac:dyDescent="0.25">
      <c r="A8" t="s">
        <v>51</v>
      </c>
      <c r="B8" t="s">
        <v>88</v>
      </c>
      <c r="C8" s="4">
        <v>23</v>
      </c>
      <c r="D8">
        <v>3</v>
      </c>
      <c r="H8" s="5" t="s">
        <v>52</v>
      </c>
      <c r="I8" s="40">
        <v>2</v>
      </c>
    </row>
    <row r="9" spans="1:9" x14ac:dyDescent="0.25">
      <c r="A9" t="s">
        <v>50</v>
      </c>
      <c r="B9" t="s">
        <v>89</v>
      </c>
      <c r="C9" s="4">
        <v>32</v>
      </c>
      <c r="D9">
        <v>6</v>
      </c>
      <c r="H9" s="5" t="s">
        <v>50</v>
      </c>
      <c r="I9" s="40">
        <v>16</v>
      </c>
    </row>
    <row r="10" spans="1:9" x14ac:dyDescent="0.25">
      <c r="A10" t="s">
        <v>49</v>
      </c>
      <c r="B10" t="s">
        <v>89</v>
      </c>
      <c r="C10" s="4">
        <v>48</v>
      </c>
      <c r="D10">
        <v>5</v>
      </c>
      <c r="H10" s="5" t="s">
        <v>51</v>
      </c>
      <c r="I10" s="40">
        <v>3</v>
      </c>
    </row>
    <row r="11" spans="1:9" x14ac:dyDescent="0.25">
      <c r="A11" t="s">
        <v>49</v>
      </c>
      <c r="B11" t="s">
        <v>89</v>
      </c>
      <c r="C11" s="4">
        <v>62</v>
      </c>
      <c r="D11">
        <v>1</v>
      </c>
      <c r="H11" s="5" t="s">
        <v>49</v>
      </c>
      <c r="I11" s="40">
        <v>9</v>
      </c>
    </row>
    <row r="12" spans="1:9" x14ac:dyDescent="0.25">
      <c r="H12" s="5" t="s">
        <v>233</v>
      </c>
      <c r="I12" s="40">
        <v>30</v>
      </c>
    </row>
  </sheetData>
  <pageMargins left="0.7" right="0.7" top="0.75" bottom="0.75" header="0.3" footer="0.3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5"/>
  <dimension ref="A1:F40"/>
  <sheetViews>
    <sheetView workbookViewId="0">
      <selection activeCell="G39" sqref="G39"/>
    </sheetView>
  </sheetViews>
  <sheetFormatPr defaultRowHeight="15" x14ac:dyDescent="0.25"/>
  <cols>
    <col min="3" max="3" width="17.42578125" customWidth="1"/>
    <col min="5" max="5" width="10.42578125" customWidth="1"/>
    <col min="6" max="6" width="13.140625" customWidth="1"/>
  </cols>
  <sheetData>
    <row r="1" spans="1:6" ht="15.75" x14ac:dyDescent="0.25">
      <c r="A1" s="11" t="s">
        <v>201</v>
      </c>
    </row>
    <row r="3" spans="1:6" x14ac:dyDescent="0.25">
      <c r="A3" t="s">
        <v>338</v>
      </c>
    </row>
    <row r="4" spans="1:6" x14ac:dyDescent="0.25">
      <c r="A4" t="s">
        <v>202</v>
      </c>
    </row>
    <row r="5" spans="1:6" x14ac:dyDescent="0.25">
      <c r="A5" t="s">
        <v>203</v>
      </c>
    </row>
    <row r="6" spans="1:6" x14ac:dyDescent="0.25">
      <c r="A6" t="s">
        <v>204</v>
      </c>
    </row>
    <row r="7" spans="1:6" x14ac:dyDescent="0.25">
      <c r="A7" t="s">
        <v>205</v>
      </c>
    </row>
    <row r="8" spans="1:6" x14ac:dyDescent="0.25">
      <c r="A8" t="s">
        <v>206</v>
      </c>
    </row>
    <row r="9" spans="1:6" x14ac:dyDescent="0.25">
      <c r="A9" t="s">
        <v>207</v>
      </c>
    </row>
    <row r="10" spans="1:6" x14ac:dyDescent="0.25">
      <c r="A10" t="s">
        <v>208</v>
      </c>
    </row>
    <row r="11" spans="1:6" x14ac:dyDescent="0.25">
      <c r="A11" t="s">
        <v>209</v>
      </c>
      <c r="D11" t="s">
        <v>339</v>
      </c>
    </row>
    <row r="13" spans="1:6" x14ac:dyDescent="0.25">
      <c r="B13" t="s">
        <v>97</v>
      </c>
      <c r="C13" t="s">
        <v>160</v>
      </c>
      <c r="D13" t="s">
        <v>89</v>
      </c>
      <c r="E13" t="s">
        <v>161</v>
      </c>
      <c r="F13" t="s">
        <v>162</v>
      </c>
    </row>
    <row r="14" spans="1:6" x14ac:dyDescent="0.25">
      <c r="B14" t="s">
        <v>163</v>
      </c>
      <c r="C14" t="s">
        <v>135</v>
      </c>
      <c r="D14" t="s">
        <v>145</v>
      </c>
      <c r="E14" s="35">
        <v>2228</v>
      </c>
      <c r="F14" s="35">
        <v>22280</v>
      </c>
    </row>
    <row r="15" spans="1:6" x14ac:dyDescent="0.25">
      <c r="B15" t="s">
        <v>163</v>
      </c>
      <c r="C15" t="s">
        <v>164</v>
      </c>
      <c r="D15" t="s">
        <v>145</v>
      </c>
      <c r="E15" s="35">
        <v>1209</v>
      </c>
      <c r="F15" s="35">
        <v>12090</v>
      </c>
    </row>
    <row r="16" spans="1:6" x14ac:dyDescent="0.25">
      <c r="B16" t="s">
        <v>163</v>
      </c>
      <c r="C16" t="s">
        <v>136</v>
      </c>
      <c r="D16" t="s">
        <v>145</v>
      </c>
      <c r="E16" s="35">
        <v>4768</v>
      </c>
      <c r="F16" s="35">
        <v>47680</v>
      </c>
    </row>
    <row r="17" spans="2:6" x14ac:dyDescent="0.25">
      <c r="B17" t="s">
        <v>134</v>
      </c>
      <c r="C17" t="s">
        <v>135</v>
      </c>
      <c r="D17" t="s">
        <v>145</v>
      </c>
      <c r="E17" s="35">
        <v>8540</v>
      </c>
      <c r="F17" s="35">
        <v>170800</v>
      </c>
    </row>
    <row r="18" spans="2:6" x14ac:dyDescent="0.25">
      <c r="B18" t="s">
        <v>134</v>
      </c>
      <c r="C18" t="s">
        <v>164</v>
      </c>
      <c r="D18" t="s">
        <v>145</v>
      </c>
      <c r="E18" s="35">
        <v>3091</v>
      </c>
      <c r="F18" s="35">
        <v>61820</v>
      </c>
    </row>
    <row r="19" spans="2:6" x14ac:dyDescent="0.25">
      <c r="B19" t="s">
        <v>134</v>
      </c>
      <c r="C19" t="s">
        <v>136</v>
      </c>
      <c r="D19" t="s">
        <v>145</v>
      </c>
      <c r="E19" s="35">
        <v>9038</v>
      </c>
      <c r="F19" s="35">
        <v>180760</v>
      </c>
    </row>
    <row r="20" spans="2:6" x14ac:dyDescent="0.25">
      <c r="B20" t="s">
        <v>167</v>
      </c>
      <c r="C20" t="s">
        <v>135</v>
      </c>
      <c r="D20" t="s">
        <v>145</v>
      </c>
      <c r="E20" s="35">
        <v>6560</v>
      </c>
      <c r="F20" s="35">
        <v>32800</v>
      </c>
    </row>
    <row r="21" spans="2:6" x14ac:dyDescent="0.25">
      <c r="B21" t="s">
        <v>167</v>
      </c>
      <c r="C21" t="s">
        <v>164</v>
      </c>
      <c r="D21" t="s">
        <v>145</v>
      </c>
      <c r="E21" s="35">
        <v>6867</v>
      </c>
      <c r="F21" s="35">
        <v>34335</v>
      </c>
    </row>
    <row r="22" spans="2:6" x14ac:dyDescent="0.25">
      <c r="B22" t="s">
        <v>167</v>
      </c>
      <c r="C22" t="s">
        <v>136</v>
      </c>
      <c r="D22" t="s">
        <v>145</v>
      </c>
      <c r="E22" s="35">
        <v>6249</v>
      </c>
      <c r="F22" s="35">
        <v>31245</v>
      </c>
    </row>
    <row r="23" spans="2:6" x14ac:dyDescent="0.25">
      <c r="B23" t="s">
        <v>163</v>
      </c>
      <c r="C23" t="s">
        <v>135</v>
      </c>
      <c r="D23" t="s">
        <v>182</v>
      </c>
      <c r="E23" s="35">
        <v>7232</v>
      </c>
      <c r="F23" s="35">
        <v>72320</v>
      </c>
    </row>
    <row r="24" spans="2:6" x14ac:dyDescent="0.25">
      <c r="B24" t="s">
        <v>163</v>
      </c>
      <c r="C24" t="s">
        <v>164</v>
      </c>
      <c r="D24" t="s">
        <v>182</v>
      </c>
      <c r="E24" s="35">
        <v>1004</v>
      </c>
      <c r="F24" s="35">
        <v>10040</v>
      </c>
    </row>
    <row r="25" spans="2:6" x14ac:dyDescent="0.25">
      <c r="B25" t="s">
        <v>163</v>
      </c>
      <c r="C25" t="s">
        <v>136</v>
      </c>
      <c r="D25" t="s">
        <v>182</v>
      </c>
      <c r="E25" s="35">
        <v>3120</v>
      </c>
      <c r="F25" s="35">
        <v>31200</v>
      </c>
    </row>
    <row r="26" spans="2:6" x14ac:dyDescent="0.25">
      <c r="B26" t="s">
        <v>134</v>
      </c>
      <c r="C26" t="s">
        <v>135</v>
      </c>
      <c r="D26" t="s">
        <v>182</v>
      </c>
      <c r="E26" s="35">
        <v>3404</v>
      </c>
      <c r="F26" s="35">
        <v>68080</v>
      </c>
    </row>
    <row r="27" spans="2:6" x14ac:dyDescent="0.25">
      <c r="B27" t="s">
        <v>134</v>
      </c>
      <c r="C27" t="s">
        <v>164</v>
      </c>
      <c r="D27" t="s">
        <v>182</v>
      </c>
      <c r="E27" s="35">
        <v>6310</v>
      </c>
      <c r="F27" s="35">
        <v>126200</v>
      </c>
    </row>
    <row r="28" spans="2:6" x14ac:dyDescent="0.25">
      <c r="B28" t="s">
        <v>134</v>
      </c>
      <c r="C28" t="s">
        <v>136</v>
      </c>
      <c r="D28" t="s">
        <v>182</v>
      </c>
      <c r="E28" s="35">
        <v>1819</v>
      </c>
      <c r="F28" s="35">
        <v>36380</v>
      </c>
    </row>
    <row r="29" spans="2:6" x14ac:dyDescent="0.25">
      <c r="B29" t="s">
        <v>167</v>
      </c>
      <c r="C29" t="s">
        <v>135</v>
      </c>
      <c r="D29" t="s">
        <v>182</v>
      </c>
      <c r="E29" s="35">
        <v>3657</v>
      </c>
      <c r="F29" s="35">
        <v>18285</v>
      </c>
    </row>
    <row r="30" spans="2:6" x14ac:dyDescent="0.25">
      <c r="B30" t="s">
        <v>167</v>
      </c>
      <c r="C30" t="s">
        <v>164</v>
      </c>
      <c r="D30" t="s">
        <v>182</v>
      </c>
      <c r="E30" s="35">
        <v>7220</v>
      </c>
      <c r="F30" s="35">
        <v>36100</v>
      </c>
    </row>
    <row r="31" spans="2:6" x14ac:dyDescent="0.25">
      <c r="B31" t="s">
        <v>167</v>
      </c>
      <c r="C31" t="s">
        <v>136</v>
      </c>
      <c r="D31" t="s">
        <v>182</v>
      </c>
      <c r="E31" s="35">
        <v>4617</v>
      </c>
      <c r="F31" s="35">
        <v>23085</v>
      </c>
    </row>
    <row r="32" spans="2:6" x14ac:dyDescent="0.25">
      <c r="B32" t="s">
        <v>163</v>
      </c>
      <c r="C32" t="s">
        <v>135</v>
      </c>
      <c r="D32" t="s">
        <v>183</v>
      </c>
      <c r="E32" s="35">
        <v>8343</v>
      </c>
      <c r="F32" s="35">
        <v>83430</v>
      </c>
    </row>
    <row r="33" spans="2:6" x14ac:dyDescent="0.25">
      <c r="B33" t="s">
        <v>163</v>
      </c>
      <c r="C33" t="s">
        <v>164</v>
      </c>
      <c r="D33" t="s">
        <v>183</v>
      </c>
      <c r="E33" s="35">
        <v>6616</v>
      </c>
      <c r="F33" s="35">
        <v>66160</v>
      </c>
    </row>
    <row r="34" spans="2:6" x14ac:dyDescent="0.25">
      <c r="B34" t="s">
        <v>163</v>
      </c>
      <c r="C34" t="s">
        <v>136</v>
      </c>
      <c r="D34" t="s">
        <v>183</v>
      </c>
      <c r="E34" s="35">
        <v>6292</v>
      </c>
      <c r="F34" s="35">
        <v>62920</v>
      </c>
    </row>
    <row r="35" spans="2:6" x14ac:dyDescent="0.25">
      <c r="B35" t="s">
        <v>134</v>
      </c>
      <c r="C35" t="s">
        <v>135</v>
      </c>
      <c r="D35" t="s">
        <v>183</v>
      </c>
      <c r="E35" s="35">
        <v>6276</v>
      </c>
      <c r="F35" s="35">
        <v>125520</v>
      </c>
    </row>
    <row r="36" spans="2:6" x14ac:dyDescent="0.25">
      <c r="B36" t="s">
        <v>134</v>
      </c>
      <c r="C36" t="s">
        <v>164</v>
      </c>
      <c r="D36" t="s">
        <v>183</v>
      </c>
      <c r="E36" s="35">
        <v>3516</v>
      </c>
      <c r="F36" s="35">
        <v>70320</v>
      </c>
    </row>
    <row r="37" spans="2:6" x14ac:dyDescent="0.25">
      <c r="B37" t="s">
        <v>134</v>
      </c>
      <c r="C37" t="s">
        <v>136</v>
      </c>
      <c r="D37" t="s">
        <v>183</v>
      </c>
      <c r="E37" s="35">
        <v>8962</v>
      </c>
      <c r="F37" s="35">
        <v>179240</v>
      </c>
    </row>
    <row r="38" spans="2:6" x14ac:dyDescent="0.25">
      <c r="B38" t="s">
        <v>167</v>
      </c>
      <c r="C38" t="s">
        <v>135</v>
      </c>
      <c r="D38" t="s">
        <v>183</v>
      </c>
      <c r="E38" s="35">
        <v>7292</v>
      </c>
      <c r="F38" s="35">
        <v>36460</v>
      </c>
    </row>
    <row r="39" spans="2:6" x14ac:dyDescent="0.25">
      <c r="B39" t="s">
        <v>167</v>
      </c>
      <c r="C39" t="s">
        <v>164</v>
      </c>
      <c r="D39" t="s">
        <v>183</v>
      </c>
      <c r="E39" s="35">
        <v>5360</v>
      </c>
      <c r="F39" s="35">
        <v>26800</v>
      </c>
    </row>
    <row r="40" spans="2:6" x14ac:dyDescent="0.25">
      <c r="B40" t="s">
        <v>167</v>
      </c>
      <c r="C40" t="s">
        <v>136</v>
      </c>
      <c r="D40" t="s">
        <v>183</v>
      </c>
      <c r="E40" s="35">
        <v>9468</v>
      </c>
      <c r="F40" s="35">
        <v>47340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B7"/>
  <sheetViews>
    <sheetView workbookViewId="0">
      <selection activeCell="H4" sqref="H4"/>
    </sheetView>
  </sheetViews>
  <sheetFormatPr defaultRowHeight="15" x14ac:dyDescent="0.25"/>
  <cols>
    <col min="1" max="1" width="12.5703125" customWidth="1"/>
    <col min="2" max="2" width="19.5703125" bestFit="1" customWidth="1"/>
  </cols>
  <sheetData>
    <row r="1" spans="1:2" x14ac:dyDescent="0.25">
      <c r="A1" s="39" t="s">
        <v>89</v>
      </c>
      <c r="B1" s="61" t="s">
        <v>145</v>
      </c>
    </row>
    <row r="3" spans="1:2" x14ac:dyDescent="0.25">
      <c r="A3" s="39" t="s">
        <v>232</v>
      </c>
      <c r="B3" t="s">
        <v>329</v>
      </c>
    </row>
    <row r="4" spans="1:2" x14ac:dyDescent="0.25">
      <c r="A4" s="63" t="s">
        <v>167</v>
      </c>
      <c r="B4" s="40">
        <v>98380</v>
      </c>
    </row>
    <row r="5" spans="1:2" x14ac:dyDescent="0.25">
      <c r="A5" s="63" t="s">
        <v>134</v>
      </c>
      <c r="B5" s="40">
        <v>413380</v>
      </c>
    </row>
    <row r="6" spans="1:2" x14ac:dyDescent="0.25">
      <c r="A6" s="63" t="s">
        <v>163</v>
      </c>
      <c r="B6" s="40">
        <v>82050</v>
      </c>
    </row>
    <row r="7" spans="1:2" x14ac:dyDescent="0.25">
      <c r="A7" s="63" t="s">
        <v>233</v>
      </c>
      <c r="B7" s="40">
        <v>593810</v>
      </c>
    </row>
  </sheetData>
  <pageMargins left="0.7" right="0.7" top="0.75" bottom="0.75" header="0.3" footer="0.3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N16"/>
  <sheetViews>
    <sheetView workbookViewId="0">
      <selection activeCell="D14" sqref="D14"/>
    </sheetView>
  </sheetViews>
  <sheetFormatPr defaultRowHeight="15" x14ac:dyDescent="0.25"/>
  <cols>
    <col min="4" max="4" width="17.42578125" bestFit="1" customWidth="1"/>
    <col min="13" max="13" width="12.140625" bestFit="1" customWidth="1"/>
    <col min="14" max="14" width="9.140625" style="1"/>
  </cols>
  <sheetData>
    <row r="1" spans="1:4" x14ac:dyDescent="0.25">
      <c r="A1" s="1" t="s">
        <v>48</v>
      </c>
    </row>
    <row r="2" spans="1:4" x14ac:dyDescent="0.25">
      <c r="A2" t="s">
        <v>47</v>
      </c>
    </row>
    <row r="4" spans="1:4" x14ac:dyDescent="0.25">
      <c r="A4" s="1" t="s">
        <v>314</v>
      </c>
    </row>
    <row r="5" spans="1:4" x14ac:dyDescent="0.25">
      <c r="A5" t="s">
        <v>46</v>
      </c>
    </row>
    <row r="7" spans="1:4" x14ac:dyDescent="0.25">
      <c r="A7" s="1" t="s">
        <v>45</v>
      </c>
      <c r="B7" s="1" t="s">
        <v>44</v>
      </c>
      <c r="C7" s="1" t="s">
        <v>43</v>
      </c>
      <c r="D7" s="1" t="s">
        <v>42</v>
      </c>
    </row>
    <row r="8" spans="1:4" x14ac:dyDescent="0.25">
      <c r="A8" t="s">
        <v>40</v>
      </c>
      <c r="B8">
        <v>32</v>
      </c>
      <c r="C8" s="4">
        <v>18000</v>
      </c>
      <c r="D8" s="59">
        <v>28654</v>
      </c>
    </row>
    <row r="9" spans="1:4" x14ac:dyDescent="0.25">
      <c r="A9" t="s">
        <v>35</v>
      </c>
      <c r="B9">
        <v>34</v>
      </c>
      <c r="C9" s="4">
        <v>46000</v>
      </c>
      <c r="D9" s="59">
        <v>28035</v>
      </c>
    </row>
    <row r="10" spans="1:4" x14ac:dyDescent="0.25">
      <c r="A10" t="s">
        <v>36</v>
      </c>
      <c r="B10">
        <v>28</v>
      </c>
      <c r="C10" s="4">
        <v>16900</v>
      </c>
      <c r="D10" s="59">
        <v>30132</v>
      </c>
    </row>
    <row r="11" spans="1:4" x14ac:dyDescent="0.25">
      <c r="A11" t="s">
        <v>38</v>
      </c>
      <c r="B11">
        <v>45</v>
      </c>
      <c r="C11" s="4">
        <v>7560</v>
      </c>
      <c r="D11" s="59">
        <v>24072</v>
      </c>
    </row>
    <row r="12" spans="1:4" x14ac:dyDescent="0.25">
      <c r="A12" t="s">
        <v>37</v>
      </c>
      <c r="B12">
        <v>65</v>
      </c>
      <c r="C12" s="4">
        <v>22100</v>
      </c>
      <c r="D12" s="59">
        <v>16768</v>
      </c>
    </row>
    <row r="13" spans="1:4" x14ac:dyDescent="0.25">
      <c r="A13" t="s">
        <v>34</v>
      </c>
      <c r="B13">
        <v>29</v>
      </c>
      <c r="C13" s="4">
        <v>16000</v>
      </c>
      <c r="D13" s="59">
        <v>29753</v>
      </c>
    </row>
    <row r="14" spans="1:4" x14ac:dyDescent="0.25">
      <c r="A14" t="s">
        <v>41</v>
      </c>
      <c r="B14">
        <v>43</v>
      </c>
      <c r="C14" s="4">
        <v>34000</v>
      </c>
      <c r="D14" s="59">
        <v>24078</v>
      </c>
    </row>
    <row r="15" spans="1:4" x14ac:dyDescent="0.25">
      <c r="A15" t="s">
        <v>39</v>
      </c>
      <c r="B15">
        <v>23</v>
      </c>
      <c r="C15" s="4">
        <v>10800</v>
      </c>
      <c r="D15" s="59">
        <v>31901</v>
      </c>
    </row>
    <row r="16" spans="1:4" x14ac:dyDescent="0.25">
      <c r="D16" s="59"/>
    </row>
  </sheetData>
  <sortState xmlns:xlrd2="http://schemas.microsoft.com/office/spreadsheetml/2017/richdata2" ref="A8:D15">
    <sortCondition ref="A8:A1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15"/>
  <sheetViews>
    <sheetView workbookViewId="0">
      <selection activeCell="E28" sqref="E28"/>
    </sheetView>
  </sheetViews>
  <sheetFormatPr defaultRowHeight="15" x14ac:dyDescent="0.25"/>
  <cols>
    <col min="1" max="1" width="6.140625" customWidth="1"/>
    <col min="2" max="2" width="9.5703125" bestFit="1" customWidth="1"/>
    <col min="3" max="5" width="7.5703125" customWidth="1"/>
    <col min="6" max="8" width="8" customWidth="1"/>
    <col min="11" max="11" width="14.42578125" bestFit="1" customWidth="1"/>
    <col min="12" max="12" width="5" bestFit="1" customWidth="1"/>
  </cols>
  <sheetData>
    <row r="1" spans="1:12" ht="15.75" x14ac:dyDescent="0.25">
      <c r="A1" s="11" t="s">
        <v>112</v>
      </c>
    </row>
    <row r="3" spans="1:12" x14ac:dyDescent="0.25">
      <c r="A3" t="s">
        <v>113</v>
      </c>
    </row>
    <row r="4" spans="1:12" x14ac:dyDescent="0.25">
      <c r="A4" t="s">
        <v>313</v>
      </c>
    </row>
    <row r="6" spans="1:12" x14ac:dyDescent="0.25">
      <c r="K6" t="s">
        <v>114</v>
      </c>
      <c r="L6" s="12">
        <v>100</v>
      </c>
    </row>
    <row r="8" spans="1:12" x14ac:dyDescent="0.25">
      <c r="C8" s="125" t="s">
        <v>115</v>
      </c>
      <c r="D8" s="126"/>
      <c r="E8" s="126"/>
      <c r="F8" s="127" t="s">
        <v>116</v>
      </c>
      <c r="G8" s="127"/>
      <c r="H8" s="128"/>
    </row>
    <row r="9" spans="1:12" x14ac:dyDescent="0.25">
      <c r="A9" s="13" t="s">
        <v>117</v>
      </c>
      <c r="B9" s="14" t="s">
        <v>118</v>
      </c>
      <c r="C9" s="15" t="s">
        <v>119</v>
      </c>
      <c r="D9" s="16" t="s">
        <v>120</v>
      </c>
      <c r="E9" s="16" t="s">
        <v>121</v>
      </c>
      <c r="F9" s="17" t="s">
        <v>119</v>
      </c>
      <c r="G9" s="17" t="s">
        <v>120</v>
      </c>
      <c r="H9" s="18" t="s">
        <v>121</v>
      </c>
    </row>
    <row r="10" spans="1:12" x14ac:dyDescent="0.25">
      <c r="A10" s="19">
        <v>1</v>
      </c>
      <c r="B10" s="20">
        <v>100</v>
      </c>
      <c r="C10" s="21">
        <v>90</v>
      </c>
      <c r="D10" s="1">
        <v>91</v>
      </c>
      <c r="E10" s="1">
        <v>60</v>
      </c>
      <c r="F10" s="22">
        <f>C10/$B$10</f>
        <v>0.9</v>
      </c>
      <c r="G10" s="22">
        <f t="shared" ref="G10:H10" si="0">D10/$B$10</f>
        <v>0.91</v>
      </c>
      <c r="H10" s="22">
        <f t="shared" si="0"/>
        <v>0.6</v>
      </c>
    </row>
    <row r="11" spans="1:12" x14ac:dyDescent="0.25">
      <c r="A11" s="19">
        <v>2</v>
      </c>
      <c r="B11" s="20">
        <v>60</v>
      </c>
      <c r="C11" s="21">
        <v>50</v>
      </c>
      <c r="D11" s="1">
        <v>42</v>
      </c>
      <c r="E11" s="1">
        <v>59</v>
      </c>
      <c r="F11" s="22">
        <f>C11/$B$11</f>
        <v>0.83333333333333337</v>
      </c>
      <c r="G11" s="22">
        <f t="shared" ref="G11:H11" si="1">D11/$B$11</f>
        <v>0.7</v>
      </c>
      <c r="H11" s="22">
        <f t="shared" si="1"/>
        <v>0.98333333333333328</v>
      </c>
    </row>
    <row r="12" spans="1:12" x14ac:dyDescent="0.25">
      <c r="A12" s="19">
        <v>3</v>
      </c>
      <c r="B12" s="20">
        <v>40</v>
      </c>
      <c r="C12" s="21">
        <v>35</v>
      </c>
      <c r="D12" s="1">
        <v>25</v>
      </c>
      <c r="E12" s="1">
        <v>32</v>
      </c>
      <c r="F12" s="22">
        <f>C12/$B$12</f>
        <v>0.875</v>
      </c>
      <c r="G12" s="22">
        <f t="shared" ref="G12:H12" si="2">D12/$B$12</f>
        <v>0.625</v>
      </c>
      <c r="H12" s="22">
        <f t="shared" si="2"/>
        <v>0.8</v>
      </c>
    </row>
    <row r="13" spans="1:12" x14ac:dyDescent="0.25">
      <c r="A13" s="23" t="s">
        <v>9</v>
      </c>
      <c r="B13" s="24">
        <f>SUM(B10:B12)</f>
        <v>200</v>
      </c>
      <c r="C13" s="25">
        <f>SUM(C10:C12)</f>
        <v>175</v>
      </c>
      <c r="D13" s="26">
        <f>SUM(D10:D12)</f>
        <v>158</v>
      </c>
      <c r="E13" s="26">
        <f>SUM(E10:E12)</f>
        <v>151</v>
      </c>
      <c r="F13" s="27">
        <f>C13/$B$13</f>
        <v>0.875</v>
      </c>
      <c r="G13" s="27">
        <f t="shared" ref="G13:H13" si="3">D13/$B$13</f>
        <v>0.79</v>
      </c>
      <c r="H13" s="27">
        <f t="shared" si="3"/>
        <v>0.755</v>
      </c>
    </row>
    <row r="15" spans="1:12" x14ac:dyDescent="0.25">
      <c r="E15" t="s">
        <v>122</v>
      </c>
      <c r="F15" s="28">
        <f>F13*$L$6</f>
        <v>87.5</v>
      </c>
      <c r="G15" s="28">
        <f t="shared" ref="G15:H15" si="4">G13*$L$6</f>
        <v>79</v>
      </c>
      <c r="H15" s="28">
        <f t="shared" si="4"/>
        <v>75.5</v>
      </c>
    </row>
  </sheetData>
  <mergeCells count="2">
    <mergeCell ref="C8:E8"/>
    <mergeCell ref="F8:H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21"/>
  <sheetViews>
    <sheetView zoomScaleNormal="100" workbookViewId="0">
      <selection activeCell="D15" sqref="D15"/>
    </sheetView>
  </sheetViews>
  <sheetFormatPr defaultRowHeight="15" x14ac:dyDescent="0.25"/>
  <cols>
    <col min="1" max="5" width="9.140625" customWidth="1"/>
  </cols>
  <sheetData>
    <row r="1" spans="1:5" x14ac:dyDescent="0.25">
      <c r="A1" t="s">
        <v>244</v>
      </c>
    </row>
    <row r="3" spans="1:5" x14ac:dyDescent="0.25">
      <c r="A3" t="s">
        <v>246</v>
      </c>
      <c r="B3" t="s">
        <v>247</v>
      </c>
      <c r="C3" t="s">
        <v>256</v>
      </c>
      <c r="D3" t="s">
        <v>247</v>
      </c>
      <c r="E3" t="s">
        <v>256</v>
      </c>
    </row>
    <row r="4" spans="1:5" x14ac:dyDescent="0.25">
      <c r="A4" t="s">
        <v>256</v>
      </c>
      <c r="B4" t="s">
        <v>247</v>
      </c>
      <c r="C4" t="s">
        <v>246</v>
      </c>
      <c r="D4" t="s">
        <v>246</v>
      </c>
      <c r="E4" t="s">
        <v>247</v>
      </c>
    </row>
    <row r="5" spans="1:5" x14ac:dyDescent="0.25">
      <c r="A5" t="s">
        <v>247</v>
      </c>
      <c r="B5" t="s">
        <v>256</v>
      </c>
      <c r="C5" t="s">
        <v>247</v>
      </c>
      <c r="D5" t="s">
        <v>246</v>
      </c>
      <c r="E5" t="s">
        <v>246</v>
      </c>
    </row>
    <row r="7" spans="1:5" x14ac:dyDescent="0.25">
      <c r="A7" t="s">
        <v>245</v>
      </c>
    </row>
    <row r="9" spans="1:5" x14ac:dyDescent="0.25">
      <c r="B9" s="42" t="s">
        <v>111</v>
      </c>
    </row>
    <row r="10" spans="1:5" x14ac:dyDescent="0.25">
      <c r="A10" t="s">
        <v>98</v>
      </c>
      <c r="B10" s="35">
        <v>4578</v>
      </c>
    </row>
    <row r="11" spans="1:5" x14ac:dyDescent="0.25">
      <c r="A11" t="s">
        <v>99</v>
      </c>
      <c r="B11" s="35">
        <v>2612</v>
      </c>
    </row>
    <row r="12" spans="1:5" x14ac:dyDescent="0.25">
      <c r="A12" t="s">
        <v>106</v>
      </c>
      <c r="B12" s="35">
        <v>6954</v>
      </c>
    </row>
    <row r="13" spans="1:5" x14ac:dyDescent="0.25">
      <c r="A13" t="s">
        <v>248</v>
      </c>
      <c r="B13" s="35">
        <v>1234</v>
      </c>
    </row>
    <row r="14" spans="1:5" x14ac:dyDescent="0.25">
      <c r="A14" t="s">
        <v>138</v>
      </c>
      <c r="B14" s="35">
        <v>5586</v>
      </c>
    </row>
    <row r="15" spans="1:5" x14ac:dyDescent="0.25">
      <c r="A15" t="s">
        <v>249</v>
      </c>
      <c r="B15" s="35">
        <v>4476</v>
      </c>
    </row>
    <row r="16" spans="1:5" x14ac:dyDescent="0.25">
      <c r="A16" t="s">
        <v>250</v>
      </c>
      <c r="B16" s="35">
        <v>3694</v>
      </c>
    </row>
    <row r="17" spans="1:2" x14ac:dyDescent="0.25">
      <c r="A17" t="s">
        <v>251</v>
      </c>
      <c r="B17" s="35">
        <v>1960</v>
      </c>
    </row>
    <row r="18" spans="1:2" x14ac:dyDescent="0.25">
      <c r="A18" t="s">
        <v>252</v>
      </c>
      <c r="B18" s="35">
        <v>7850</v>
      </c>
    </row>
    <row r="19" spans="1:2" x14ac:dyDescent="0.25">
      <c r="A19" t="s">
        <v>253</v>
      </c>
      <c r="B19" s="35">
        <v>6940</v>
      </c>
    </row>
    <row r="20" spans="1:2" x14ac:dyDescent="0.25">
      <c r="A20" t="s">
        <v>254</v>
      </c>
      <c r="B20" s="35">
        <v>5698</v>
      </c>
    </row>
    <row r="21" spans="1:2" x14ac:dyDescent="0.25">
      <c r="A21" t="s">
        <v>255</v>
      </c>
      <c r="B21" s="35">
        <v>3657</v>
      </c>
    </row>
  </sheetData>
  <customSheetViews>
    <customSheetView guid="{28759D3D-4935-4F4F-B5FE-C8D459AA4B3D}">
      <selection activeCell="A2" sqref="A2"/>
      <pageMargins left="0.7" right="0.7" top="0.75" bottom="0.75" header="0.3" footer="0.3"/>
    </customSheetView>
  </customSheetViews>
  <conditionalFormatting sqref="A3:E5">
    <cfRule type="containsText" dxfId="4" priority="2" operator="containsText" text="Tax">
      <formula>NOT(ISERROR(SEARCH("Tax",A3)))</formula>
    </cfRule>
  </conditionalFormatting>
  <conditionalFormatting sqref="B10:B21">
    <cfRule type="top10" dxfId="3" priority="1" rank="2"/>
  </conditionalFormatting>
  <pageMargins left="0.7" right="0.7" top="0.75" bottom="0.75" header="0.3" footer="0.3"/>
  <pageSetup paperSize="9" orientation="portrait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D32"/>
  <sheetViews>
    <sheetView workbookViewId="0">
      <selection activeCell="C32" sqref="C32"/>
    </sheetView>
  </sheetViews>
  <sheetFormatPr defaultRowHeight="15" outlineLevelRow="2" x14ac:dyDescent="0.25"/>
  <cols>
    <col min="1" max="1" width="19.5703125" customWidth="1"/>
    <col min="2" max="2" width="17.42578125" customWidth="1"/>
  </cols>
  <sheetData>
    <row r="1" spans="1:4" x14ac:dyDescent="0.25">
      <c r="A1" s="1" t="s">
        <v>96</v>
      </c>
    </row>
    <row r="3" spans="1:4" x14ac:dyDescent="0.25">
      <c r="A3" s="1" t="s">
        <v>55</v>
      </c>
      <c r="B3" s="1" t="s">
        <v>87</v>
      </c>
      <c r="C3" s="1" t="s">
        <v>54</v>
      </c>
      <c r="D3" s="1" t="s">
        <v>53</v>
      </c>
    </row>
    <row r="4" spans="1:4" outlineLevel="2" x14ac:dyDescent="0.25">
      <c r="A4" t="s">
        <v>90</v>
      </c>
      <c r="B4" t="s">
        <v>94</v>
      </c>
      <c r="C4" s="4">
        <v>10</v>
      </c>
      <c r="D4">
        <v>2</v>
      </c>
    </row>
    <row r="5" spans="1:4" outlineLevel="2" x14ac:dyDescent="0.25">
      <c r="A5" t="s">
        <v>90</v>
      </c>
      <c r="B5" t="s">
        <v>95</v>
      </c>
      <c r="C5" s="4">
        <v>48</v>
      </c>
      <c r="D5">
        <v>5</v>
      </c>
    </row>
    <row r="6" spans="1:4" outlineLevel="2" x14ac:dyDescent="0.25">
      <c r="A6" t="s">
        <v>90</v>
      </c>
      <c r="B6" t="s">
        <v>94</v>
      </c>
      <c r="C6" s="4">
        <v>62</v>
      </c>
      <c r="D6">
        <v>1</v>
      </c>
    </row>
    <row r="7" spans="1:4" outlineLevel="1" x14ac:dyDescent="0.25">
      <c r="A7" s="1" t="s">
        <v>315</v>
      </c>
      <c r="C7" s="4">
        <f>SUBTOTAL(9,C4:C6)</f>
        <v>120</v>
      </c>
      <c r="D7">
        <f>SUBTOTAL(9,D4:D6)</f>
        <v>8</v>
      </c>
    </row>
    <row r="8" spans="1:4" outlineLevel="2" x14ac:dyDescent="0.25">
      <c r="A8" t="s">
        <v>91</v>
      </c>
      <c r="B8" t="s">
        <v>94</v>
      </c>
      <c r="C8" s="4">
        <v>12</v>
      </c>
      <c r="D8">
        <v>3</v>
      </c>
    </row>
    <row r="9" spans="1:4" outlineLevel="2" x14ac:dyDescent="0.25">
      <c r="A9" t="s">
        <v>91</v>
      </c>
      <c r="B9" t="s">
        <v>94</v>
      </c>
      <c r="C9" s="4">
        <v>27</v>
      </c>
      <c r="D9">
        <v>6</v>
      </c>
    </row>
    <row r="10" spans="1:4" outlineLevel="2" x14ac:dyDescent="0.25">
      <c r="A10" t="s">
        <v>91</v>
      </c>
      <c r="B10" t="s">
        <v>94</v>
      </c>
      <c r="C10" s="4">
        <v>32</v>
      </c>
      <c r="D10">
        <v>6</v>
      </c>
    </row>
    <row r="11" spans="1:4" outlineLevel="1" x14ac:dyDescent="0.25">
      <c r="A11" s="1" t="s">
        <v>316</v>
      </c>
      <c r="C11" s="4">
        <f>SUBTOTAL(9,C8:C10)</f>
        <v>71</v>
      </c>
      <c r="D11">
        <f>SUBTOTAL(9,D8:D10)</f>
        <v>15</v>
      </c>
    </row>
    <row r="12" spans="1:4" outlineLevel="2" x14ac:dyDescent="0.25">
      <c r="A12" t="s">
        <v>93</v>
      </c>
      <c r="B12" t="s">
        <v>95</v>
      </c>
      <c r="C12" s="4">
        <v>23</v>
      </c>
      <c r="D12">
        <v>3</v>
      </c>
    </row>
    <row r="13" spans="1:4" outlineLevel="1" x14ac:dyDescent="0.25">
      <c r="A13" s="1" t="s">
        <v>317</v>
      </c>
      <c r="C13" s="4">
        <f>SUBTOTAL(9,C12:C12)</f>
        <v>23</v>
      </c>
      <c r="D13">
        <f>SUBTOTAL(9,D12:D12)</f>
        <v>3</v>
      </c>
    </row>
    <row r="14" spans="1:4" outlineLevel="2" x14ac:dyDescent="0.25">
      <c r="A14" t="s">
        <v>92</v>
      </c>
      <c r="B14" t="s">
        <v>95</v>
      </c>
      <c r="C14" s="4">
        <v>25</v>
      </c>
      <c r="D14">
        <v>4</v>
      </c>
    </row>
    <row r="15" spans="1:4" outlineLevel="1" x14ac:dyDescent="0.25">
      <c r="A15" s="1" t="s">
        <v>318</v>
      </c>
      <c r="C15" s="4">
        <f>SUBTOTAL(9,C14:C14)</f>
        <v>25</v>
      </c>
      <c r="D15">
        <f>SUBTOTAL(9,D14:D14)</f>
        <v>4</v>
      </c>
    </row>
    <row r="16" spans="1:4" x14ac:dyDescent="0.25">
      <c r="A16" s="1" t="s">
        <v>233</v>
      </c>
      <c r="C16" s="4">
        <f>SUBTOTAL(9,C4:C14)</f>
        <v>239</v>
      </c>
      <c r="D16">
        <f>SUBTOTAL(9,D4:D14)</f>
        <v>30</v>
      </c>
    </row>
    <row r="19" spans="1:4" x14ac:dyDescent="0.25">
      <c r="A19" s="1" t="s">
        <v>319</v>
      </c>
    </row>
    <row r="21" spans="1:4" x14ac:dyDescent="0.25">
      <c r="A21" s="1" t="s">
        <v>55</v>
      </c>
      <c r="B21" s="1" t="s">
        <v>87</v>
      </c>
      <c r="C21" s="1" t="s">
        <v>54</v>
      </c>
      <c r="D21" s="1" t="s">
        <v>53</v>
      </c>
    </row>
    <row r="22" spans="1:4" outlineLevel="2" x14ac:dyDescent="0.25">
      <c r="A22" t="s">
        <v>90</v>
      </c>
      <c r="B22" t="s">
        <v>94</v>
      </c>
      <c r="C22" s="4">
        <v>10</v>
      </c>
      <c r="D22">
        <v>2</v>
      </c>
    </row>
    <row r="23" spans="1:4" outlineLevel="2" x14ac:dyDescent="0.25">
      <c r="A23" t="s">
        <v>90</v>
      </c>
      <c r="B23" t="s">
        <v>94</v>
      </c>
      <c r="C23" s="4">
        <v>62</v>
      </c>
      <c r="D23">
        <v>1</v>
      </c>
    </row>
    <row r="24" spans="1:4" outlineLevel="2" x14ac:dyDescent="0.25">
      <c r="A24" t="s">
        <v>91</v>
      </c>
      <c r="B24" t="s">
        <v>94</v>
      </c>
      <c r="C24" s="4">
        <v>12</v>
      </c>
      <c r="D24">
        <v>3</v>
      </c>
    </row>
    <row r="25" spans="1:4" outlineLevel="2" x14ac:dyDescent="0.25">
      <c r="A25" t="s">
        <v>91</v>
      </c>
      <c r="B25" t="s">
        <v>94</v>
      </c>
      <c r="C25" s="4">
        <v>27</v>
      </c>
      <c r="D25">
        <v>6</v>
      </c>
    </row>
    <row r="26" spans="1:4" outlineLevel="2" x14ac:dyDescent="0.25">
      <c r="A26" t="s">
        <v>91</v>
      </c>
      <c r="B26" t="s">
        <v>94</v>
      </c>
      <c r="C26" s="4">
        <v>32</v>
      </c>
      <c r="D26">
        <v>6</v>
      </c>
    </row>
    <row r="27" spans="1:4" outlineLevel="1" x14ac:dyDescent="0.25">
      <c r="B27" s="1" t="s">
        <v>320</v>
      </c>
      <c r="C27" s="4">
        <f>SUBTOTAL(1,C22:C26)</f>
        <v>28.6</v>
      </c>
    </row>
    <row r="28" spans="1:4" outlineLevel="2" x14ac:dyDescent="0.25">
      <c r="A28" t="s">
        <v>90</v>
      </c>
      <c r="B28" t="s">
        <v>95</v>
      </c>
      <c r="C28" s="4">
        <v>48</v>
      </c>
      <c r="D28">
        <v>5</v>
      </c>
    </row>
    <row r="29" spans="1:4" outlineLevel="2" x14ac:dyDescent="0.25">
      <c r="A29" t="s">
        <v>93</v>
      </c>
      <c r="B29" t="s">
        <v>95</v>
      </c>
      <c r="C29" s="4">
        <v>23</v>
      </c>
      <c r="D29">
        <v>3</v>
      </c>
    </row>
    <row r="30" spans="1:4" outlineLevel="2" x14ac:dyDescent="0.25">
      <c r="A30" t="s">
        <v>92</v>
      </c>
      <c r="B30" t="s">
        <v>95</v>
      </c>
      <c r="C30" s="4">
        <v>25</v>
      </c>
      <c r="D30">
        <v>4</v>
      </c>
    </row>
    <row r="31" spans="1:4" outlineLevel="1" x14ac:dyDescent="0.25">
      <c r="B31" s="1" t="s">
        <v>321</v>
      </c>
      <c r="C31" s="4">
        <f>SUBTOTAL(1,C28:C30)</f>
        <v>32</v>
      </c>
    </row>
    <row r="32" spans="1:4" x14ac:dyDescent="0.25">
      <c r="B32" s="1" t="s">
        <v>322</v>
      </c>
      <c r="C32" s="4">
        <f>SUBTOTAL(1,C22:C30)</f>
        <v>29.875</v>
      </c>
    </row>
  </sheetData>
  <sortState xmlns:xlrd2="http://schemas.microsoft.com/office/spreadsheetml/2017/richdata2" ref="A22:D30">
    <sortCondition ref="B22:B30"/>
  </sortState>
  <dataConsolidate/>
  <pageMargins left="0.7" right="0.7" top="0.75" bottom="0.75" header="0.3" footer="0.3"/>
  <pageSetup paperSize="9" orientation="portrait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 filterMode="1"/>
  <dimension ref="A1:E44"/>
  <sheetViews>
    <sheetView workbookViewId="0">
      <selection activeCell="H36" sqref="H36"/>
    </sheetView>
  </sheetViews>
  <sheetFormatPr defaultRowHeight="15" x14ac:dyDescent="0.25"/>
  <cols>
    <col min="2" max="2" width="9.5703125" bestFit="1" customWidth="1"/>
    <col min="3" max="3" width="13.140625" bestFit="1" customWidth="1"/>
    <col min="4" max="4" width="9.5703125" bestFit="1" customWidth="1"/>
    <col min="5" max="5" width="12.5703125" bestFit="1" customWidth="1"/>
    <col min="8" max="8" width="19.5703125" bestFit="1" customWidth="1"/>
    <col min="9" max="11" width="9.85546875" bestFit="1" customWidth="1"/>
    <col min="12" max="12" width="10.5703125" bestFit="1" customWidth="1"/>
  </cols>
  <sheetData>
    <row r="1" spans="1:5" ht="15.75" x14ac:dyDescent="0.25">
      <c r="A1" s="11" t="s">
        <v>323</v>
      </c>
    </row>
    <row r="3" spans="1:5" x14ac:dyDescent="0.25">
      <c r="A3" t="s">
        <v>324</v>
      </c>
    </row>
    <row r="4" spans="1:5" x14ac:dyDescent="0.25">
      <c r="A4" t="s">
        <v>325</v>
      </c>
    </row>
    <row r="6" spans="1:5" x14ac:dyDescent="0.25">
      <c r="B6" t="s">
        <v>97</v>
      </c>
      <c r="C6" t="s">
        <v>160</v>
      </c>
      <c r="D6" t="s">
        <v>161</v>
      </c>
      <c r="E6" t="s">
        <v>162</v>
      </c>
    </row>
    <row r="7" spans="1:5" hidden="1" x14ac:dyDescent="0.25">
      <c r="B7" t="s">
        <v>163</v>
      </c>
      <c r="C7" t="s">
        <v>135</v>
      </c>
      <c r="D7" s="35">
        <v>2773</v>
      </c>
      <c r="E7" s="35">
        <v>55460</v>
      </c>
    </row>
    <row r="8" spans="1:5" hidden="1" x14ac:dyDescent="0.25">
      <c r="B8" t="s">
        <v>163</v>
      </c>
      <c r="C8" t="s">
        <v>164</v>
      </c>
      <c r="D8" s="35">
        <v>4004</v>
      </c>
      <c r="E8" s="35">
        <v>80080</v>
      </c>
    </row>
    <row r="9" spans="1:5" x14ac:dyDescent="0.25">
      <c r="B9" t="s">
        <v>163</v>
      </c>
      <c r="C9" t="s">
        <v>136</v>
      </c>
      <c r="D9" s="35">
        <v>5978</v>
      </c>
      <c r="E9" s="35">
        <v>119560</v>
      </c>
    </row>
    <row r="10" spans="1:5" hidden="1" x14ac:dyDescent="0.25">
      <c r="B10" t="s">
        <v>163</v>
      </c>
      <c r="C10" t="s">
        <v>137</v>
      </c>
      <c r="D10" s="35">
        <v>4925</v>
      </c>
      <c r="E10" s="35">
        <v>98500</v>
      </c>
    </row>
    <row r="11" spans="1:5" x14ac:dyDescent="0.25">
      <c r="B11" t="s">
        <v>163</v>
      </c>
      <c r="C11" t="s">
        <v>165</v>
      </c>
      <c r="D11" s="35">
        <v>8928</v>
      </c>
      <c r="E11" s="35">
        <v>178560</v>
      </c>
    </row>
    <row r="12" spans="1:5" x14ac:dyDescent="0.25">
      <c r="B12" t="s">
        <v>163</v>
      </c>
      <c r="C12" t="s">
        <v>166</v>
      </c>
      <c r="D12" s="35">
        <v>8056</v>
      </c>
      <c r="E12" s="35">
        <v>161120</v>
      </c>
    </row>
    <row r="13" spans="1:5" x14ac:dyDescent="0.25">
      <c r="B13" s="1" t="s">
        <v>327</v>
      </c>
      <c r="D13" s="35">
        <f>SUBTOTAL(9,D7:D12)</f>
        <v>22962</v>
      </c>
      <c r="E13" s="35">
        <f>SUBTOTAL(9,E7:E12)</f>
        <v>459240</v>
      </c>
    </row>
    <row r="14" spans="1:5" hidden="1" x14ac:dyDescent="0.25">
      <c r="B14" t="s">
        <v>134</v>
      </c>
      <c r="C14" t="s">
        <v>135</v>
      </c>
      <c r="D14" s="35">
        <v>2251</v>
      </c>
      <c r="E14" s="35">
        <v>67530</v>
      </c>
    </row>
    <row r="15" spans="1:5" hidden="1" x14ac:dyDescent="0.25">
      <c r="B15" t="s">
        <v>134</v>
      </c>
      <c r="C15" t="s">
        <v>164</v>
      </c>
      <c r="D15" s="35">
        <v>3784</v>
      </c>
      <c r="E15" s="35">
        <v>113520</v>
      </c>
    </row>
    <row r="16" spans="1:5" hidden="1" x14ac:dyDescent="0.25">
      <c r="B16" t="s">
        <v>134</v>
      </c>
      <c r="C16" t="s">
        <v>136</v>
      </c>
      <c r="D16" s="35">
        <v>2879</v>
      </c>
      <c r="E16" s="35">
        <v>86370</v>
      </c>
    </row>
    <row r="17" spans="1:5" hidden="1" x14ac:dyDescent="0.25">
      <c r="B17" t="s">
        <v>134</v>
      </c>
      <c r="C17" t="s">
        <v>137</v>
      </c>
      <c r="D17" s="35">
        <v>5916</v>
      </c>
      <c r="E17" s="35">
        <v>177480</v>
      </c>
    </row>
    <row r="18" spans="1:5" x14ac:dyDescent="0.25">
      <c r="B18" t="s">
        <v>134</v>
      </c>
      <c r="C18" t="s">
        <v>165</v>
      </c>
      <c r="D18" s="35">
        <v>6174</v>
      </c>
      <c r="E18" s="35">
        <v>185220</v>
      </c>
    </row>
    <row r="19" spans="1:5" x14ac:dyDescent="0.25">
      <c r="B19" t="s">
        <v>134</v>
      </c>
      <c r="C19" t="s">
        <v>166</v>
      </c>
      <c r="D19" s="35">
        <v>6613</v>
      </c>
      <c r="E19" s="35">
        <v>198390</v>
      </c>
    </row>
    <row r="20" spans="1:5" x14ac:dyDescent="0.25">
      <c r="B20" s="1" t="s">
        <v>328</v>
      </c>
      <c r="D20" s="35">
        <f>SUBTOTAL(9,D14:D19)</f>
        <v>12787</v>
      </c>
      <c r="E20" s="35">
        <f>SUBTOTAL(9,E14:E19)</f>
        <v>383610</v>
      </c>
    </row>
    <row r="21" spans="1:5" x14ac:dyDescent="0.25">
      <c r="B21" s="1" t="s">
        <v>233</v>
      </c>
      <c r="D21" s="35">
        <f>SUBTOTAL(9,D7:D19)</f>
        <v>35749</v>
      </c>
      <c r="E21" s="35">
        <f>SUBTOTAL(9,E7:E19)</f>
        <v>842850</v>
      </c>
    </row>
    <row r="22" spans="1:5" hidden="1" x14ac:dyDescent="0.25">
      <c r="B22" t="s">
        <v>167</v>
      </c>
      <c r="C22" t="s">
        <v>135</v>
      </c>
      <c r="D22" s="35">
        <v>1466</v>
      </c>
      <c r="E22" s="35">
        <v>14660</v>
      </c>
    </row>
    <row r="23" spans="1:5" hidden="1" x14ac:dyDescent="0.25">
      <c r="B23" t="s">
        <v>167</v>
      </c>
      <c r="C23" t="s">
        <v>164</v>
      </c>
      <c r="D23" s="35">
        <v>1758</v>
      </c>
      <c r="E23" s="35">
        <v>17580</v>
      </c>
    </row>
    <row r="24" spans="1:5" hidden="1" x14ac:dyDescent="0.25">
      <c r="B24" t="s">
        <v>167</v>
      </c>
      <c r="C24" t="s">
        <v>136</v>
      </c>
      <c r="D24" s="35">
        <v>1055</v>
      </c>
      <c r="E24" s="35">
        <v>10550</v>
      </c>
    </row>
    <row r="25" spans="1:5" hidden="1" x14ac:dyDescent="0.25">
      <c r="B25" t="s">
        <v>167</v>
      </c>
      <c r="C25" t="s">
        <v>137</v>
      </c>
      <c r="D25" s="35">
        <v>3945</v>
      </c>
      <c r="E25" s="35">
        <v>39450</v>
      </c>
    </row>
    <row r="26" spans="1:5" hidden="1" x14ac:dyDescent="0.25">
      <c r="B26" t="s">
        <v>167</v>
      </c>
      <c r="C26" t="s">
        <v>165</v>
      </c>
      <c r="D26" s="35">
        <v>2233</v>
      </c>
      <c r="E26" s="35">
        <v>22330</v>
      </c>
    </row>
    <row r="27" spans="1:5" hidden="1" x14ac:dyDescent="0.25">
      <c r="B27" t="s">
        <v>167</v>
      </c>
      <c r="C27" t="s">
        <v>166</v>
      </c>
      <c r="D27" s="35">
        <v>2261</v>
      </c>
      <c r="E27" s="35">
        <v>22610</v>
      </c>
    </row>
    <row r="30" spans="1:5" x14ac:dyDescent="0.25">
      <c r="A30" t="s">
        <v>326</v>
      </c>
    </row>
    <row r="32" spans="1:5" x14ac:dyDescent="0.25">
      <c r="B32" t="s">
        <v>69</v>
      </c>
      <c r="C32" t="s">
        <v>168</v>
      </c>
    </row>
    <row r="33" spans="2:3" x14ac:dyDescent="0.25">
      <c r="B33" t="s">
        <v>170</v>
      </c>
      <c r="C33">
        <v>31</v>
      </c>
    </row>
    <row r="34" spans="2:3" x14ac:dyDescent="0.25">
      <c r="B34" t="s">
        <v>172</v>
      </c>
      <c r="C34">
        <v>28</v>
      </c>
    </row>
    <row r="35" spans="2:3" x14ac:dyDescent="0.25">
      <c r="B35" t="s">
        <v>171</v>
      </c>
      <c r="C35">
        <v>31</v>
      </c>
    </row>
    <row r="36" spans="2:3" x14ac:dyDescent="0.25">
      <c r="B36" t="s">
        <v>169</v>
      </c>
      <c r="C36">
        <v>30</v>
      </c>
    </row>
    <row r="37" spans="2:3" x14ac:dyDescent="0.25">
      <c r="B37" t="s">
        <v>138</v>
      </c>
      <c r="C37">
        <v>31</v>
      </c>
    </row>
    <row r="38" spans="2:3" x14ac:dyDescent="0.25">
      <c r="B38" t="s">
        <v>174</v>
      </c>
      <c r="C38">
        <v>30</v>
      </c>
    </row>
    <row r="39" spans="2:3" x14ac:dyDescent="0.25">
      <c r="B39" t="s">
        <v>173</v>
      </c>
      <c r="C39">
        <v>31</v>
      </c>
    </row>
    <row r="40" spans="2:3" x14ac:dyDescent="0.25">
      <c r="B40" t="s">
        <v>179</v>
      </c>
      <c r="C40">
        <v>31</v>
      </c>
    </row>
    <row r="41" spans="2:3" x14ac:dyDescent="0.25">
      <c r="B41" t="s">
        <v>178</v>
      </c>
      <c r="C41">
        <v>30</v>
      </c>
    </row>
    <row r="42" spans="2:3" x14ac:dyDescent="0.25">
      <c r="B42" t="s">
        <v>175</v>
      </c>
      <c r="C42">
        <v>31</v>
      </c>
    </row>
    <row r="43" spans="2:3" x14ac:dyDescent="0.25">
      <c r="B43" t="s">
        <v>177</v>
      </c>
      <c r="C43">
        <v>30</v>
      </c>
    </row>
    <row r="44" spans="2:3" x14ac:dyDescent="0.25">
      <c r="B44" t="s">
        <v>176</v>
      </c>
      <c r="C44">
        <v>31</v>
      </c>
    </row>
  </sheetData>
  <autoFilter ref="A6:E27" xr:uid="{00000000-0009-0000-0000-000014000000}">
    <filterColumn colId="3">
      <top10 val="5" filterVal="5978"/>
    </filterColumn>
  </autoFilter>
  <sortState xmlns:xlrd2="http://schemas.microsoft.com/office/spreadsheetml/2017/richdata2" ref="B33:C44">
    <sortCondition ref="B33:B44" customList="January,February,March,April,May,June,July,August,September,October,November,December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P33"/>
  <sheetViews>
    <sheetView workbookViewId="0">
      <selection activeCell="E30" sqref="E30"/>
    </sheetView>
  </sheetViews>
  <sheetFormatPr defaultRowHeight="15" x14ac:dyDescent="0.25"/>
  <cols>
    <col min="3" max="3" width="11.42578125" bestFit="1" customWidth="1"/>
  </cols>
  <sheetData>
    <row r="1" spans="1:10" ht="15.75" x14ac:dyDescent="0.25">
      <c r="A1" s="11" t="s">
        <v>139</v>
      </c>
    </row>
    <row r="3" spans="1:10" x14ac:dyDescent="0.25">
      <c r="A3" t="s">
        <v>140</v>
      </c>
    </row>
    <row r="5" spans="1:10" x14ac:dyDescent="0.25">
      <c r="B5" s="1" t="s">
        <v>141</v>
      </c>
    </row>
    <row r="7" spans="1:10" x14ac:dyDescent="0.25">
      <c r="B7" t="s">
        <v>142</v>
      </c>
      <c r="C7" t="s">
        <v>143</v>
      </c>
      <c r="D7" t="s">
        <v>144</v>
      </c>
      <c r="H7" t="s">
        <v>142</v>
      </c>
      <c r="I7" t="s">
        <v>144</v>
      </c>
    </row>
    <row r="8" spans="1:10" x14ac:dyDescent="0.25">
      <c r="B8" t="s">
        <v>38</v>
      </c>
      <c r="C8" t="s">
        <v>145</v>
      </c>
      <c r="D8">
        <v>60</v>
      </c>
      <c r="H8" t="s">
        <v>146</v>
      </c>
      <c r="I8" s="32">
        <f>VLOOKUP(H8,$B$8:$D$21,3,0)</f>
        <v>96</v>
      </c>
      <c r="J8">
        <f>VLOOKUP(H8,Scores,3,0)</f>
        <v>96</v>
      </c>
    </row>
    <row r="9" spans="1:10" x14ac:dyDescent="0.25">
      <c r="B9" t="s">
        <v>119</v>
      </c>
      <c r="C9" t="s">
        <v>147</v>
      </c>
      <c r="D9">
        <v>86</v>
      </c>
      <c r="H9" t="s">
        <v>148</v>
      </c>
      <c r="I9" s="32">
        <f t="shared" ref="I9:I10" si="0">VLOOKUP(H9,$B$8:$D$21,3,0)</f>
        <v>54</v>
      </c>
      <c r="J9">
        <f>VLOOKUP(H9,Scores,3,0)</f>
        <v>54</v>
      </c>
    </row>
    <row r="10" spans="1:10" x14ac:dyDescent="0.25">
      <c r="B10" t="s">
        <v>149</v>
      </c>
      <c r="C10" t="s">
        <v>11</v>
      </c>
      <c r="D10">
        <v>75</v>
      </c>
      <c r="H10" t="s">
        <v>150</v>
      </c>
      <c r="I10" s="32">
        <f t="shared" si="0"/>
        <v>69</v>
      </c>
      <c r="J10">
        <f>VLOOKUP(H10,Scores,3,0)</f>
        <v>69</v>
      </c>
    </row>
    <row r="11" spans="1:10" x14ac:dyDescent="0.25">
      <c r="B11" t="s">
        <v>146</v>
      </c>
      <c r="C11" t="s">
        <v>145</v>
      </c>
      <c r="D11">
        <v>96</v>
      </c>
    </row>
    <row r="12" spans="1:10" x14ac:dyDescent="0.25">
      <c r="B12" t="s">
        <v>148</v>
      </c>
      <c r="C12" t="s">
        <v>147</v>
      </c>
      <c r="D12">
        <v>54</v>
      </c>
    </row>
    <row r="13" spans="1:10" x14ac:dyDescent="0.25">
      <c r="B13" t="s">
        <v>151</v>
      </c>
      <c r="C13" t="s">
        <v>145</v>
      </c>
      <c r="D13">
        <v>34</v>
      </c>
    </row>
    <row r="14" spans="1:10" x14ac:dyDescent="0.25">
      <c r="B14" t="s">
        <v>152</v>
      </c>
      <c r="C14" t="s">
        <v>147</v>
      </c>
      <c r="D14">
        <v>45</v>
      </c>
    </row>
    <row r="15" spans="1:10" x14ac:dyDescent="0.25">
      <c r="B15" t="s">
        <v>153</v>
      </c>
      <c r="C15" t="s">
        <v>145</v>
      </c>
      <c r="D15">
        <v>62</v>
      </c>
    </row>
    <row r="16" spans="1:10" x14ac:dyDescent="0.25">
      <c r="B16" t="s">
        <v>154</v>
      </c>
      <c r="C16" t="s">
        <v>145</v>
      </c>
      <c r="D16">
        <v>38</v>
      </c>
    </row>
    <row r="17" spans="1:16" x14ac:dyDescent="0.25">
      <c r="B17" t="s">
        <v>155</v>
      </c>
      <c r="C17" t="s">
        <v>145</v>
      </c>
      <c r="D17">
        <v>75</v>
      </c>
    </row>
    <row r="18" spans="1:16" x14ac:dyDescent="0.25">
      <c r="B18" t="s">
        <v>156</v>
      </c>
      <c r="C18" t="s">
        <v>145</v>
      </c>
      <c r="D18">
        <v>86</v>
      </c>
    </row>
    <row r="19" spans="1:16" x14ac:dyDescent="0.25">
      <c r="B19" t="s">
        <v>157</v>
      </c>
      <c r="C19" t="s">
        <v>147</v>
      </c>
      <c r="D19">
        <v>73</v>
      </c>
    </row>
    <row r="20" spans="1:16" x14ac:dyDescent="0.25">
      <c r="B20" t="s">
        <v>150</v>
      </c>
      <c r="C20" t="s">
        <v>11</v>
      </c>
      <c r="D20">
        <v>69</v>
      </c>
    </row>
    <row r="21" spans="1:16" x14ac:dyDescent="0.25">
      <c r="B21" t="s">
        <v>158</v>
      </c>
      <c r="C21" t="s">
        <v>145</v>
      </c>
      <c r="D21">
        <v>60</v>
      </c>
    </row>
    <row r="24" spans="1:16" x14ac:dyDescent="0.25">
      <c r="A24" t="s">
        <v>159</v>
      </c>
    </row>
    <row r="26" spans="1:16" x14ac:dyDescent="0.25">
      <c r="B26" t="s">
        <v>142</v>
      </c>
      <c r="C26" t="s">
        <v>38</v>
      </c>
      <c r="D26" t="s">
        <v>119</v>
      </c>
      <c r="E26" t="s">
        <v>149</v>
      </c>
      <c r="F26" t="s">
        <v>146</v>
      </c>
      <c r="G26" t="s">
        <v>148</v>
      </c>
      <c r="H26" t="s">
        <v>151</v>
      </c>
      <c r="I26" t="s">
        <v>152</v>
      </c>
      <c r="J26" t="s">
        <v>153</v>
      </c>
      <c r="K26" t="s">
        <v>154</v>
      </c>
      <c r="L26" t="s">
        <v>155</v>
      </c>
      <c r="M26" t="s">
        <v>156</v>
      </c>
      <c r="N26" t="s">
        <v>157</v>
      </c>
      <c r="O26" t="s">
        <v>150</v>
      </c>
      <c r="P26" t="s">
        <v>158</v>
      </c>
    </row>
    <row r="27" spans="1:16" x14ac:dyDescent="0.25">
      <c r="B27" t="s">
        <v>143</v>
      </c>
      <c r="C27" t="s">
        <v>145</v>
      </c>
      <c r="D27" t="s">
        <v>147</v>
      </c>
      <c r="E27" t="s">
        <v>11</v>
      </c>
      <c r="F27" t="s">
        <v>145</v>
      </c>
      <c r="G27" t="s">
        <v>147</v>
      </c>
      <c r="H27" t="s">
        <v>145</v>
      </c>
      <c r="I27" t="s">
        <v>147</v>
      </c>
      <c r="J27" t="s">
        <v>145</v>
      </c>
      <c r="K27" t="s">
        <v>145</v>
      </c>
      <c r="L27" t="s">
        <v>145</v>
      </c>
      <c r="M27" t="s">
        <v>145</v>
      </c>
      <c r="N27" t="s">
        <v>147</v>
      </c>
      <c r="O27" t="s">
        <v>11</v>
      </c>
      <c r="P27" t="s">
        <v>145</v>
      </c>
    </row>
    <row r="28" spans="1:16" x14ac:dyDescent="0.25">
      <c r="B28" t="s">
        <v>144</v>
      </c>
      <c r="C28">
        <v>60</v>
      </c>
      <c r="D28">
        <v>86</v>
      </c>
      <c r="E28">
        <v>75</v>
      </c>
      <c r="F28">
        <v>96</v>
      </c>
      <c r="G28">
        <v>54</v>
      </c>
      <c r="H28">
        <v>34</v>
      </c>
      <c r="I28">
        <v>45</v>
      </c>
      <c r="J28">
        <v>62</v>
      </c>
      <c r="K28">
        <v>38</v>
      </c>
      <c r="L28">
        <v>75</v>
      </c>
      <c r="M28">
        <v>86</v>
      </c>
      <c r="N28">
        <v>73</v>
      </c>
      <c r="O28">
        <v>69</v>
      </c>
      <c r="P28">
        <v>60</v>
      </c>
    </row>
    <row r="32" spans="1:16" x14ac:dyDescent="0.25">
      <c r="B32" t="s">
        <v>142</v>
      </c>
      <c r="C32" t="s">
        <v>146</v>
      </c>
      <c r="D32" t="s">
        <v>148</v>
      </c>
      <c r="E32" t="s">
        <v>150</v>
      </c>
    </row>
    <row r="33" spans="2:5" x14ac:dyDescent="0.25">
      <c r="B33" t="s">
        <v>144</v>
      </c>
      <c r="C33" s="32">
        <f>HLOOKUP(C32,$B$26:$P$28,3,0)</f>
        <v>96</v>
      </c>
      <c r="D33" s="32">
        <f t="shared" ref="D33:E33" si="1">HLOOKUP(D32,$B$26:$P$28,3,0)</f>
        <v>54</v>
      </c>
      <c r="E33" s="32">
        <f t="shared" si="1"/>
        <v>69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D20"/>
  <sheetViews>
    <sheetView topLeftCell="A3" workbookViewId="0">
      <selection activeCell="D19" sqref="D19"/>
    </sheetView>
  </sheetViews>
  <sheetFormatPr defaultRowHeight="15" x14ac:dyDescent="0.25"/>
  <cols>
    <col min="1" max="1" width="12.5703125" bestFit="1" customWidth="1"/>
    <col min="2" max="2" width="14.85546875" bestFit="1" customWidth="1"/>
    <col min="3" max="3" width="12" customWidth="1"/>
  </cols>
  <sheetData>
    <row r="1" spans="1:4" x14ac:dyDescent="0.25">
      <c r="A1" s="1" t="s">
        <v>231</v>
      </c>
      <c r="B1" s="1"/>
    </row>
    <row r="3" spans="1:4" x14ac:dyDescent="0.25">
      <c r="A3" s="1" t="s">
        <v>55</v>
      </c>
      <c r="B3" s="1" t="s">
        <v>87</v>
      </c>
      <c r="C3" s="1" t="s">
        <v>54</v>
      </c>
      <c r="D3" s="1" t="s">
        <v>53</v>
      </c>
    </row>
    <row r="4" spans="1:4" x14ac:dyDescent="0.25">
      <c r="A4" t="s">
        <v>52</v>
      </c>
      <c r="B4" t="s">
        <v>88</v>
      </c>
      <c r="C4" s="4">
        <v>10</v>
      </c>
      <c r="D4">
        <v>2</v>
      </c>
    </row>
    <row r="5" spans="1:4" x14ac:dyDescent="0.25">
      <c r="A5" t="s">
        <v>49</v>
      </c>
      <c r="B5" t="s">
        <v>88</v>
      </c>
      <c r="C5" s="4">
        <v>12</v>
      </c>
      <c r="D5">
        <v>3</v>
      </c>
    </row>
    <row r="6" spans="1:4" x14ac:dyDescent="0.25">
      <c r="A6" t="s">
        <v>50</v>
      </c>
      <c r="B6" t="s">
        <v>89</v>
      </c>
      <c r="C6" s="4">
        <v>27</v>
      </c>
      <c r="D6">
        <v>6</v>
      </c>
    </row>
    <row r="7" spans="1:4" x14ac:dyDescent="0.25">
      <c r="A7" t="s">
        <v>50</v>
      </c>
      <c r="B7" t="s">
        <v>88</v>
      </c>
      <c r="C7" s="4">
        <v>25</v>
      </c>
      <c r="D7">
        <v>4</v>
      </c>
    </row>
    <row r="8" spans="1:4" x14ac:dyDescent="0.25">
      <c r="A8" t="s">
        <v>51</v>
      </c>
      <c r="B8" t="s">
        <v>88</v>
      </c>
      <c r="C8" s="4">
        <v>23</v>
      </c>
      <c r="D8">
        <v>3</v>
      </c>
    </row>
    <row r="9" spans="1:4" x14ac:dyDescent="0.25">
      <c r="A9" t="s">
        <v>50</v>
      </c>
      <c r="B9" t="s">
        <v>89</v>
      </c>
      <c r="C9" s="4">
        <v>32</v>
      </c>
      <c r="D9">
        <v>6</v>
      </c>
    </row>
    <row r="10" spans="1:4" x14ac:dyDescent="0.25">
      <c r="A10" t="s">
        <v>49</v>
      </c>
      <c r="B10" t="s">
        <v>89</v>
      </c>
      <c r="C10" s="4">
        <v>48</v>
      </c>
      <c r="D10">
        <v>5</v>
      </c>
    </row>
    <row r="11" spans="1:4" x14ac:dyDescent="0.25">
      <c r="A11" t="s">
        <v>49</v>
      </c>
      <c r="B11" t="s">
        <v>89</v>
      </c>
      <c r="C11" s="4">
        <v>62</v>
      </c>
      <c r="D11">
        <v>1</v>
      </c>
    </row>
    <row r="15" spans="1:4" x14ac:dyDescent="0.25">
      <c r="A15" s="39" t="s">
        <v>232</v>
      </c>
      <c r="B15" t="s">
        <v>234</v>
      </c>
    </row>
    <row r="16" spans="1:4" x14ac:dyDescent="0.25">
      <c r="A16" s="5" t="s">
        <v>52</v>
      </c>
      <c r="B16" s="40">
        <v>2</v>
      </c>
    </row>
    <row r="17" spans="1:2" x14ac:dyDescent="0.25">
      <c r="A17" s="5" t="s">
        <v>50</v>
      </c>
      <c r="B17" s="40">
        <v>16</v>
      </c>
    </row>
    <row r="18" spans="1:2" x14ac:dyDescent="0.25">
      <c r="A18" s="5" t="s">
        <v>51</v>
      </c>
      <c r="B18" s="40">
        <v>3</v>
      </c>
    </row>
    <row r="19" spans="1:2" x14ac:dyDescent="0.25">
      <c r="A19" s="5" t="s">
        <v>49</v>
      </c>
      <c r="B19" s="40">
        <v>9</v>
      </c>
    </row>
    <row r="20" spans="1:2" x14ac:dyDescent="0.25">
      <c r="A20" s="5" t="s">
        <v>233</v>
      </c>
      <c r="B20" s="40">
        <v>30</v>
      </c>
    </row>
  </sheetData>
  <pageMargins left="0.7" right="0.7" top="0.75" bottom="0.75" header="0.3" footer="0.3"/>
  <pageSetup orientation="portrait" verticalDpi="4294967293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M32"/>
  <sheetViews>
    <sheetView workbookViewId="0">
      <selection activeCell="E30" sqref="E30"/>
    </sheetView>
  </sheetViews>
  <sheetFormatPr defaultRowHeight="15" x14ac:dyDescent="0.25"/>
  <cols>
    <col min="3" max="3" width="13.140625" bestFit="1" customWidth="1"/>
    <col min="4" max="4" width="11.42578125" bestFit="1" customWidth="1"/>
    <col min="5" max="5" width="9.5703125" bestFit="1" customWidth="1"/>
    <col min="6" max="6" width="12.5703125" bestFit="1" customWidth="1"/>
    <col min="9" max="9" width="19.5703125" customWidth="1"/>
    <col min="10" max="10" width="15.5703125" customWidth="1"/>
    <col min="11" max="11" width="8" customWidth="1"/>
    <col min="12" max="12" width="7.140625" customWidth="1"/>
    <col min="13" max="13" width="10.85546875" bestFit="1" customWidth="1"/>
  </cols>
  <sheetData>
    <row r="1" spans="1:13" ht="15.75" x14ac:dyDescent="0.25">
      <c r="A1" s="11" t="s">
        <v>180</v>
      </c>
    </row>
    <row r="3" spans="1:13" x14ac:dyDescent="0.25">
      <c r="A3" t="s">
        <v>181</v>
      </c>
    </row>
    <row r="5" spans="1:13" x14ac:dyDescent="0.25">
      <c r="B5" t="s">
        <v>97</v>
      </c>
      <c r="C5" t="s">
        <v>160</v>
      </c>
      <c r="D5" t="s">
        <v>89</v>
      </c>
      <c r="E5" t="s">
        <v>161</v>
      </c>
      <c r="F5" t="s">
        <v>162</v>
      </c>
      <c r="I5" s="39" t="s">
        <v>329</v>
      </c>
      <c r="J5" s="39" t="s">
        <v>330</v>
      </c>
    </row>
    <row r="6" spans="1:13" x14ac:dyDescent="0.25">
      <c r="B6" t="s">
        <v>163</v>
      </c>
      <c r="C6" t="s">
        <v>135</v>
      </c>
      <c r="D6" t="s">
        <v>145</v>
      </c>
      <c r="E6" s="35">
        <v>2228</v>
      </c>
      <c r="F6" s="35">
        <v>22280</v>
      </c>
      <c r="I6" s="39" t="s">
        <v>232</v>
      </c>
      <c r="J6" t="s">
        <v>167</v>
      </c>
      <c r="K6" t="s">
        <v>134</v>
      </c>
      <c r="L6" t="s">
        <v>163</v>
      </c>
      <c r="M6" t="s">
        <v>233</v>
      </c>
    </row>
    <row r="7" spans="1:13" x14ac:dyDescent="0.25">
      <c r="B7" t="s">
        <v>163</v>
      </c>
      <c r="C7" t="s">
        <v>164</v>
      </c>
      <c r="D7" t="s">
        <v>145</v>
      </c>
      <c r="E7" s="35">
        <v>1209</v>
      </c>
      <c r="F7" s="35">
        <v>12090</v>
      </c>
      <c r="I7" s="60" t="s">
        <v>182</v>
      </c>
      <c r="J7" s="40">
        <v>77470</v>
      </c>
      <c r="K7" s="40">
        <v>230660</v>
      </c>
      <c r="L7" s="40">
        <v>113560</v>
      </c>
      <c r="M7" s="40">
        <v>421690</v>
      </c>
    </row>
    <row r="8" spans="1:13" x14ac:dyDescent="0.25">
      <c r="B8" t="s">
        <v>163</v>
      </c>
      <c r="C8" t="s">
        <v>136</v>
      </c>
      <c r="D8" t="s">
        <v>145</v>
      </c>
      <c r="E8" s="35">
        <v>4768</v>
      </c>
      <c r="F8" s="35">
        <v>47680</v>
      </c>
      <c r="I8" s="60" t="s">
        <v>145</v>
      </c>
      <c r="J8" s="40">
        <v>98380</v>
      </c>
      <c r="K8" s="40">
        <v>413380</v>
      </c>
      <c r="L8" s="40">
        <v>82050</v>
      </c>
      <c r="M8" s="40">
        <v>593810</v>
      </c>
    </row>
    <row r="9" spans="1:13" x14ac:dyDescent="0.25">
      <c r="B9" t="s">
        <v>134</v>
      </c>
      <c r="C9" t="s">
        <v>135</v>
      </c>
      <c r="D9" t="s">
        <v>145</v>
      </c>
      <c r="E9" s="35">
        <v>8540</v>
      </c>
      <c r="F9" s="35">
        <v>170800</v>
      </c>
      <c r="I9" s="60" t="s">
        <v>183</v>
      </c>
      <c r="J9" s="40">
        <v>110600</v>
      </c>
      <c r="K9" s="40">
        <v>375080</v>
      </c>
      <c r="L9" s="40">
        <v>212510</v>
      </c>
      <c r="M9" s="40">
        <v>698190</v>
      </c>
    </row>
    <row r="10" spans="1:13" x14ac:dyDescent="0.25">
      <c r="B10" t="s">
        <v>134</v>
      </c>
      <c r="C10" t="s">
        <v>164</v>
      </c>
      <c r="D10" t="s">
        <v>145</v>
      </c>
      <c r="E10" s="35">
        <v>3091</v>
      </c>
      <c r="F10" s="35">
        <v>61820</v>
      </c>
      <c r="I10" s="60" t="s">
        <v>233</v>
      </c>
      <c r="J10" s="40">
        <v>286450</v>
      </c>
      <c r="K10" s="40">
        <v>1019120</v>
      </c>
      <c r="L10" s="40">
        <v>408120</v>
      </c>
      <c r="M10" s="40">
        <v>1713690</v>
      </c>
    </row>
    <row r="11" spans="1:13" x14ac:dyDescent="0.25">
      <c r="B11" t="s">
        <v>134</v>
      </c>
      <c r="C11" t="s">
        <v>136</v>
      </c>
      <c r="D11" t="s">
        <v>145</v>
      </c>
      <c r="E11" s="35">
        <v>9038</v>
      </c>
      <c r="F11" s="35">
        <v>180760</v>
      </c>
    </row>
    <row r="12" spans="1:13" x14ac:dyDescent="0.25">
      <c r="B12" t="s">
        <v>167</v>
      </c>
      <c r="C12" t="s">
        <v>135</v>
      </c>
      <c r="D12" t="s">
        <v>145</v>
      </c>
      <c r="E12" s="35">
        <v>6560</v>
      </c>
      <c r="F12" s="35">
        <v>32800</v>
      </c>
    </row>
    <row r="13" spans="1:13" x14ac:dyDescent="0.25">
      <c r="B13" t="s">
        <v>167</v>
      </c>
      <c r="C13" t="s">
        <v>164</v>
      </c>
      <c r="D13" t="s">
        <v>145</v>
      </c>
      <c r="E13" s="35">
        <v>6867</v>
      </c>
      <c r="F13" s="35">
        <v>34335</v>
      </c>
    </row>
    <row r="14" spans="1:13" x14ac:dyDescent="0.25">
      <c r="B14" t="s">
        <v>167</v>
      </c>
      <c r="C14" t="s">
        <v>136</v>
      </c>
      <c r="D14" t="s">
        <v>145</v>
      </c>
      <c r="E14" s="35">
        <v>6249</v>
      </c>
      <c r="F14" s="35">
        <v>31245</v>
      </c>
    </row>
    <row r="15" spans="1:13" x14ac:dyDescent="0.25">
      <c r="B15" t="s">
        <v>163</v>
      </c>
      <c r="C15" t="s">
        <v>135</v>
      </c>
      <c r="D15" t="s">
        <v>182</v>
      </c>
      <c r="E15" s="35">
        <v>7232</v>
      </c>
      <c r="F15" s="35">
        <v>72320</v>
      </c>
    </row>
    <row r="16" spans="1:13" x14ac:dyDescent="0.25">
      <c r="B16" t="s">
        <v>163</v>
      </c>
      <c r="C16" t="s">
        <v>164</v>
      </c>
      <c r="D16" t="s">
        <v>182</v>
      </c>
      <c r="E16" s="35">
        <v>1004</v>
      </c>
      <c r="F16" s="35">
        <v>10040</v>
      </c>
    </row>
    <row r="17" spans="2:6" x14ac:dyDescent="0.25">
      <c r="B17" t="s">
        <v>163</v>
      </c>
      <c r="C17" t="s">
        <v>136</v>
      </c>
      <c r="D17" t="s">
        <v>182</v>
      </c>
      <c r="E17" s="35">
        <v>3120</v>
      </c>
      <c r="F17" s="35">
        <v>31200</v>
      </c>
    </row>
    <row r="18" spans="2:6" x14ac:dyDescent="0.25">
      <c r="B18" t="s">
        <v>134</v>
      </c>
      <c r="C18" t="s">
        <v>135</v>
      </c>
      <c r="D18" t="s">
        <v>182</v>
      </c>
      <c r="E18" s="35">
        <v>3404</v>
      </c>
      <c r="F18" s="35">
        <v>68080</v>
      </c>
    </row>
    <row r="19" spans="2:6" x14ac:dyDescent="0.25">
      <c r="B19" t="s">
        <v>134</v>
      </c>
      <c r="C19" t="s">
        <v>164</v>
      </c>
      <c r="D19" t="s">
        <v>182</v>
      </c>
      <c r="E19" s="35">
        <v>6310</v>
      </c>
      <c r="F19" s="35">
        <v>126200</v>
      </c>
    </row>
    <row r="20" spans="2:6" x14ac:dyDescent="0.25">
      <c r="B20" t="s">
        <v>134</v>
      </c>
      <c r="C20" t="s">
        <v>136</v>
      </c>
      <c r="D20" t="s">
        <v>182</v>
      </c>
      <c r="E20" s="35">
        <v>1819</v>
      </c>
      <c r="F20" s="35">
        <v>36380</v>
      </c>
    </row>
    <row r="21" spans="2:6" x14ac:dyDescent="0.25">
      <c r="B21" t="s">
        <v>167</v>
      </c>
      <c r="C21" t="s">
        <v>135</v>
      </c>
      <c r="D21" t="s">
        <v>182</v>
      </c>
      <c r="E21" s="35">
        <v>3657</v>
      </c>
      <c r="F21" s="35">
        <v>18285</v>
      </c>
    </row>
    <row r="22" spans="2:6" x14ac:dyDescent="0.25">
      <c r="B22" t="s">
        <v>167</v>
      </c>
      <c r="C22" t="s">
        <v>164</v>
      </c>
      <c r="D22" t="s">
        <v>182</v>
      </c>
      <c r="E22" s="35">
        <v>7220</v>
      </c>
      <c r="F22" s="35">
        <v>36100</v>
      </c>
    </row>
    <row r="23" spans="2:6" x14ac:dyDescent="0.25">
      <c r="B23" t="s">
        <v>167</v>
      </c>
      <c r="C23" t="s">
        <v>136</v>
      </c>
      <c r="D23" t="s">
        <v>182</v>
      </c>
      <c r="E23" s="35">
        <v>4617</v>
      </c>
      <c r="F23" s="35">
        <v>23085</v>
      </c>
    </row>
    <row r="24" spans="2:6" x14ac:dyDescent="0.25">
      <c r="B24" t="s">
        <v>163</v>
      </c>
      <c r="C24" t="s">
        <v>135</v>
      </c>
      <c r="D24" t="s">
        <v>183</v>
      </c>
      <c r="E24" s="35">
        <v>8343</v>
      </c>
      <c r="F24" s="35">
        <v>83430</v>
      </c>
    </row>
    <row r="25" spans="2:6" x14ac:dyDescent="0.25">
      <c r="B25" t="s">
        <v>163</v>
      </c>
      <c r="C25" t="s">
        <v>164</v>
      </c>
      <c r="D25" t="s">
        <v>183</v>
      </c>
      <c r="E25" s="35">
        <v>6616</v>
      </c>
      <c r="F25" s="35">
        <v>66160</v>
      </c>
    </row>
    <row r="26" spans="2:6" x14ac:dyDescent="0.25">
      <c r="B26" t="s">
        <v>163</v>
      </c>
      <c r="C26" t="s">
        <v>136</v>
      </c>
      <c r="D26" t="s">
        <v>183</v>
      </c>
      <c r="E26" s="35">
        <v>6292</v>
      </c>
      <c r="F26" s="35">
        <v>62920</v>
      </c>
    </row>
    <row r="27" spans="2:6" x14ac:dyDescent="0.25">
      <c r="B27" t="s">
        <v>134</v>
      </c>
      <c r="C27" t="s">
        <v>135</v>
      </c>
      <c r="D27" t="s">
        <v>183</v>
      </c>
      <c r="E27" s="35">
        <v>6276</v>
      </c>
      <c r="F27" s="35">
        <v>125520</v>
      </c>
    </row>
    <row r="28" spans="2:6" x14ac:dyDescent="0.25">
      <c r="B28" t="s">
        <v>134</v>
      </c>
      <c r="C28" t="s">
        <v>164</v>
      </c>
      <c r="D28" t="s">
        <v>183</v>
      </c>
      <c r="E28" s="35">
        <v>3516</v>
      </c>
      <c r="F28" s="35">
        <v>70320</v>
      </c>
    </row>
    <row r="29" spans="2:6" x14ac:dyDescent="0.25">
      <c r="B29" t="s">
        <v>134</v>
      </c>
      <c r="C29" t="s">
        <v>136</v>
      </c>
      <c r="D29" t="s">
        <v>183</v>
      </c>
      <c r="E29" s="35">
        <v>8962</v>
      </c>
      <c r="F29" s="35">
        <v>179240</v>
      </c>
    </row>
    <row r="30" spans="2:6" x14ac:dyDescent="0.25">
      <c r="B30" t="s">
        <v>167</v>
      </c>
      <c r="C30" t="s">
        <v>135</v>
      </c>
      <c r="D30" t="s">
        <v>183</v>
      </c>
      <c r="E30" s="35">
        <v>7292</v>
      </c>
      <c r="F30" s="35">
        <v>36460</v>
      </c>
    </row>
    <row r="31" spans="2:6" x14ac:dyDescent="0.25">
      <c r="B31" t="s">
        <v>167</v>
      </c>
      <c r="C31" t="s">
        <v>164</v>
      </c>
      <c r="D31" t="s">
        <v>183</v>
      </c>
      <c r="E31" s="35">
        <v>5360</v>
      </c>
      <c r="F31" s="35">
        <v>26800</v>
      </c>
    </row>
    <row r="32" spans="2:6" x14ac:dyDescent="0.25">
      <c r="B32" t="s">
        <v>167</v>
      </c>
      <c r="C32" t="s">
        <v>136</v>
      </c>
      <c r="D32" t="s">
        <v>183</v>
      </c>
      <c r="E32" s="35">
        <v>9468</v>
      </c>
      <c r="F32" s="35">
        <v>47340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B15"/>
  <sheetViews>
    <sheetView workbookViewId="0">
      <selection activeCell="F32" sqref="F32"/>
    </sheetView>
  </sheetViews>
  <sheetFormatPr defaultRowHeight="15" x14ac:dyDescent="0.25"/>
  <cols>
    <col min="2" max="2" width="9.5703125" bestFit="1" customWidth="1"/>
  </cols>
  <sheetData>
    <row r="1" spans="1:2" ht="15.75" x14ac:dyDescent="0.25">
      <c r="A1" s="11" t="s">
        <v>184</v>
      </c>
    </row>
    <row r="2" spans="1:2" x14ac:dyDescent="0.25">
      <c r="A2" s="1"/>
    </row>
    <row r="3" spans="1:2" x14ac:dyDescent="0.25">
      <c r="A3" t="s">
        <v>331</v>
      </c>
    </row>
    <row r="5" spans="1:2" x14ac:dyDescent="0.25">
      <c r="A5" t="s">
        <v>185</v>
      </c>
      <c r="B5" t="s">
        <v>161</v>
      </c>
    </row>
    <row r="6" spans="1:2" x14ac:dyDescent="0.25">
      <c r="A6">
        <v>1</v>
      </c>
      <c r="B6">
        <v>12</v>
      </c>
    </row>
    <row r="7" spans="1:2" x14ac:dyDescent="0.25">
      <c r="A7">
        <v>2</v>
      </c>
      <c r="B7">
        <v>23</v>
      </c>
    </row>
    <row r="8" spans="1:2" x14ac:dyDescent="0.25">
      <c r="A8">
        <v>3</v>
      </c>
      <c r="B8">
        <v>235</v>
      </c>
    </row>
    <row r="9" spans="1:2" x14ac:dyDescent="0.25">
      <c r="A9">
        <v>4</v>
      </c>
      <c r="B9">
        <v>33</v>
      </c>
    </row>
    <row r="10" spans="1:2" x14ac:dyDescent="0.25">
      <c r="A10">
        <v>5</v>
      </c>
      <c r="B10">
        <v>54</v>
      </c>
    </row>
    <row r="11" spans="1:2" x14ac:dyDescent="0.25">
      <c r="A11">
        <v>6</v>
      </c>
      <c r="B11">
        <v>74</v>
      </c>
    </row>
    <row r="12" spans="1:2" x14ac:dyDescent="0.25">
      <c r="A12">
        <v>7</v>
      </c>
      <c r="B12">
        <v>92</v>
      </c>
    </row>
    <row r="13" spans="1:2" x14ac:dyDescent="0.25">
      <c r="A13">
        <v>8</v>
      </c>
      <c r="B13" s="32">
        <v>27.000000000000021</v>
      </c>
    </row>
    <row r="15" spans="1:2" x14ac:dyDescent="0.25">
      <c r="A15" t="s">
        <v>9</v>
      </c>
      <c r="B15">
        <f>SUM(B6:B13)</f>
        <v>550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A18"/>
  <sheetViews>
    <sheetView workbookViewId="0">
      <selection activeCell="D31" sqref="D31"/>
    </sheetView>
  </sheetViews>
  <sheetFormatPr defaultRowHeight="15" x14ac:dyDescent="0.25"/>
  <cols>
    <col min="1" max="1" width="12.5703125" customWidth="1"/>
  </cols>
  <sheetData>
    <row r="1" spans="1:1" ht="15.75" x14ac:dyDescent="0.25">
      <c r="A1" s="11" t="s">
        <v>193</v>
      </c>
    </row>
    <row r="3" spans="1:1" x14ac:dyDescent="0.25">
      <c r="A3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8" spans="1:1" x14ac:dyDescent="0.25">
      <c r="A8" t="s">
        <v>235</v>
      </c>
    </row>
    <row r="10" spans="1:1" x14ac:dyDescent="0.25">
      <c r="A10">
        <v>30</v>
      </c>
    </row>
    <row r="11" spans="1:1" x14ac:dyDescent="0.25">
      <c r="A11">
        <v>2</v>
      </c>
    </row>
    <row r="12" spans="1:1" x14ac:dyDescent="0.25">
      <c r="A12">
        <v>50</v>
      </c>
    </row>
    <row r="13" spans="1:1" x14ac:dyDescent="0.25">
      <c r="A13">
        <v>60</v>
      </c>
    </row>
    <row r="14" spans="1:1" x14ac:dyDescent="0.25">
      <c r="A14">
        <v>70</v>
      </c>
    </row>
    <row r="15" spans="1:1" x14ac:dyDescent="0.25">
      <c r="A15">
        <v>10</v>
      </c>
    </row>
    <row r="16" spans="1:1" x14ac:dyDescent="0.25">
      <c r="A16">
        <v>15</v>
      </c>
    </row>
    <row r="17" spans="1:1" x14ac:dyDescent="0.25">
      <c r="A17">
        <v>65</v>
      </c>
    </row>
    <row r="18" spans="1:1" x14ac:dyDescent="0.25">
      <c r="A18">
        <v>35</v>
      </c>
    </row>
  </sheetData>
  <dataValidations count="3">
    <dataValidation type="list" allowBlank="1" showInputMessage="1" showErrorMessage="1" sqref="B6" xr:uid="{00000000-0002-0000-1C00-000000000000}">
      <formula1>"Chocolate cake, Carrot cake"</formula1>
    </dataValidation>
    <dataValidation type="decimal" allowBlank="1" showInputMessage="1" showErrorMessage="1" sqref="A10:A18" xr:uid="{00000000-0002-0000-1C00-000001000000}">
      <formula1>0</formula1>
      <formula2>50</formula2>
    </dataValidation>
    <dataValidation type="list" allowBlank="1" showInputMessage="1" showErrorMessage="1" sqref="B5" xr:uid="{00000000-0002-0000-1C00-000002000000}">
      <formula1>"Beef, Vegetarian"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E13"/>
  <sheetViews>
    <sheetView workbookViewId="0">
      <selection activeCell="D30" sqref="D30"/>
    </sheetView>
  </sheetViews>
  <sheetFormatPr defaultRowHeight="15" x14ac:dyDescent="0.25"/>
  <cols>
    <col min="1" max="1" width="12.42578125" bestFit="1" customWidth="1"/>
    <col min="2" max="3" width="9.140625" style="7"/>
  </cols>
  <sheetData>
    <row r="1" spans="1:5" x14ac:dyDescent="0.25">
      <c r="A1" s="1" t="s">
        <v>105</v>
      </c>
    </row>
    <row r="3" spans="1:5" x14ac:dyDescent="0.25">
      <c r="A3" s="1" t="s">
        <v>97</v>
      </c>
      <c r="B3" s="8" t="s">
        <v>98</v>
      </c>
      <c r="C3" s="8" t="s">
        <v>99</v>
      </c>
    </row>
    <row r="4" spans="1:5" x14ac:dyDescent="0.25">
      <c r="A4" t="s">
        <v>100</v>
      </c>
      <c r="B4" s="7">
        <v>22</v>
      </c>
      <c r="C4" s="7">
        <v>19</v>
      </c>
    </row>
    <row r="5" spans="1:5" x14ac:dyDescent="0.25">
      <c r="A5" t="s">
        <v>101</v>
      </c>
      <c r="B5" s="7">
        <v>57</v>
      </c>
      <c r="C5" s="7">
        <v>35</v>
      </c>
    </row>
    <row r="6" spans="1:5" x14ac:dyDescent="0.25">
      <c r="A6" t="s">
        <v>102</v>
      </c>
      <c r="B6" s="7">
        <v>12</v>
      </c>
      <c r="C6" s="7">
        <v>12</v>
      </c>
    </row>
    <row r="7" spans="1:5" x14ac:dyDescent="0.25">
      <c r="A7" t="s">
        <v>103</v>
      </c>
      <c r="B7" s="7">
        <v>15</v>
      </c>
      <c r="C7" s="7">
        <v>0</v>
      </c>
    </row>
    <row r="8" spans="1:5" x14ac:dyDescent="0.25">
      <c r="A8" t="s">
        <v>104</v>
      </c>
      <c r="B8" s="7">
        <v>0</v>
      </c>
      <c r="C8" s="7">
        <v>0</v>
      </c>
    </row>
    <row r="9" spans="1:5" x14ac:dyDescent="0.25">
      <c r="B9"/>
      <c r="C9"/>
    </row>
    <row r="10" spans="1:5" x14ac:dyDescent="0.25">
      <c r="B10"/>
      <c r="C10"/>
      <c r="E10" s="7"/>
    </row>
    <row r="13" spans="1:5" x14ac:dyDescent="0.25">
      <c r="E13" s="7"/>
    </row>
  </sheetData>
  <conditionalFormatting sqref="A3:C8">
    <cfRule type="duplicateValues" dxfId="2" priority="1"/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8"/>
  <dimension ref="A1:I46"/>
  <sheetViews>
    <sheetView topLeftCell="A30" workbookViewId="0">
      <selection activeCell="C36" sqref="C36"/>
    </sheetView>
  </sheetViews>
  <sheetFormatPr defaultRowHeight="15" x14ac:dyDescent="0.25"/>
  <cols>
    <col min="5" max="5" width="10.42578125" bestFit="1" customWidth="1"/>
  </cols>
  <sheetData>
    <row r="1" spans="1:9" x14ac:dyDescent="0.25">
      <c r="A1" s="1" t="s">
        <v>282</v>
      </c>
    </row>
    <row r="2" spans="1:9" x14ac:dyDescent="0.25">
      <c r="A2" t="s">
        <v>264</v>
      </c>
    </row>
    <row r="4" spans="1:9" x14ac:dyDescent="0.25">
      <c r="A4" t="s">
        <v>265</v>
      </c>
    </row>
    <row r="6" spans="1:9" x14ac:dyDescent="0.25">
      <c r="A6" t="s">
        <v>266</v>
      </c>
      <c r="D6">
        <v>12</v>
      </c>
      <c r="H6" s="4"/>
    </row>
    <row r="7" spans="1:9" x14ac:dyDescent="0.25">
      <c r="A7" t="s">
        <v>267</v>
      </c>
      <c r="D7" s="4">
        <v>8</v>
      </c>
    </row>
    <row r="8" spans="1:9" x14ac:dyDescent="0.25">
      <c r="A8" t="s">
        <v>268</v>
      </c>
      <c r="D8">
        <v>700</v>
      </c>
    </row>
    <row r="9" spans="1:9" x14ac:dyDescent="0.25">
      <c r="A9" t="s">
        <v>269</v>
      </c>
      <c r="D9">
        <v>18</v>
      </c>
    </row>
    <row r="10" spans="1:9" x14ac:dyDescent="0.25">
      <c r="A10" t="s">
        <v>270</v>
      </c>
      <c r="D10">
        <v>200</v>
      </c>
    </row>
    <row r="11" spans="1:9" x14ac:dyDescent="0.25">
      <c r="A11" t="s">
        <v>271</v>
      </c>
      <c r="D11">
        <v>40</v>
      </c>
    </row>
    <row r="12" spans="1:9" x14ac:dyDescent="0.25">
      <c r="A12" t="s">
        <v>191</v>
      </c>
      <c r="D12" t="s">
        <v>272</v>
      </c>
    </row>
    <row r="13" spans="1:9" x14ac:dyDescent="0.25">
      <c r="A13" t="s">
        <v>192</v>
      </c>
      <c r="D13" t="s">
        <v>273</v>
      </c>
    </row>
    <row r="14" spans="1:9" x14ac:dyDescent="0.25">
      <c r="I14" s="4"/>
    </row>
    <row r="15" spans="1:9" x14ac:dyDescent="0.25">
      <c r="A15" s="1" t="s">
        <v>283</v>
      </c>
    </row>
    <row r="16" spans="1:9" x14ac:dyDescent="0.25">
      <c r="A16" s="1"/>
    </row>
    <row r="17" spans="1:5" x14ac:dyDescent="0.25">
      <c r="A17" s="48" t="s">
        <v>284</v>
      </c>
    </row>
    <row r="18" spans="1:5" x14ac:dyDescent="0.25">
      <c r="A18" s="1"/>
      <c r="E18" s="49" t="s">
        <v>285</v>
      </c>
    </row>
    <row r="19" spans="1:5" x14ac:dyDescent="0.25">
      <c r="A19" s="1" t="s">
        <v>286</v>
      </c>
    </row>
    <row r="20" spans="1:5" x14ac:dyDescent="0.25">
      <c r="A20" t="s">
        <v>287</v>
      </c>
      <c r="E20" s="35">
        <f>D8*D9</f>
        <v>12600</v>
      </c>
    </row>
    <row r="21" spans="1:5" x14ac:dyDescent="0.25">
      <c r="A21" t="s">
        <v>288</v>
      </c>
      <c r="E21" s="35">
        <f>D10*D11</f>
        <v>8000</v>
      </c>
    </row>
    <row r="22" spans="1:5" x14ac:dyDescent="0.25">
      <c r="E22" s="35"/>
    </row>
    <row r="23" spans="1:5" x14ac:dyDescent="0.25">
      <c r="A23" s="1" t="s">
        <v>289</v>
      </c>
      <c r="E23" s="35"/>
    </row>
    <row r="24" spans="1:5" x14ac:dyDescent="0.25">
      <c r="A24" t="s">
        <v>290</v>
      </c>
      <c r="E24" s="35">
        <f>D6*D7</f>
        <v>96</v>
      </c>
    </row>
    <row r="25" spans="1:5" x14ac:dyDescent="0.25">
      <c r="E25" s="46"/>
    </row>
    <row r="26" spans="1:5" x14ac:dyDescent="0.25">
      <c r="A26" s="1" t="s">
        <v>291</v>
      </c>
      <c r="E26" s="35">
        <f>SUM(E20:E24)</f>
        <v>20696</v>
      </c>
    </row>
    <row r="27" spans="1:5" x14ac:dyDescent="0.25">
      <c r="A27" s="1"/>
      <c r="E27" s="35"/>
    </row>
    <row r="28" spans="1:5" x14ac:dyDescent="0.25">
      <c r="A28" s="1" t="s">
        <v>292</v>
      </c>
      <c r="E28" s="35"/>
    </row>
    <row r="29" spans="1:5" x14ac:dyDescent="0.25">
      <c r="A29" s="41" t="s">
        <v>293</v>
      </c>
      <c r="E29" s="35">
        <v>24</v>
      </c>
    </row>
    <row r="30" spans="1:5" x14ac:dyDescent="0.25">
      <c r="A30" s="41" t="s">
        <v>192</v>
      </c>
      <c r="E30" s="35">
        <f>D6*10</f>
        <v>120</v>
      </c>
    </row>
    <row r="31" spans="1:5" x14ac:dyDescent="0.25">
      <c r="A31" s="1"/>
      <c r="E31" s="35"/>
    </row>
    <row r="32" spans="1:5" ht="15.75" thickBot="1" x14ac:dyDescent="0.3">
      <c r="A32" s="1" t="s">
        <v>294</v>
      </c>
      <c r="E32" s="45">
        <f>SUM(E26:E30)</f>
        <v>20840</v>
      </c>
    </row>
    <row r="33" spans="1:5" ht="15.75" thickTop="1" x14ac:dyDescent="0.25">
      <c r="A33" s="1"/>
      <c r="E33" s="35"/>
    </row>
    <row r="34" spans="1:5" x14ac:dyDescent="0.25">
      <c r="A34" s="1" t="s">
        <v>299</v>
      </c>
    </row>
    <row r="35" spans="1:5" x14ac:dyDescent="0.25">
      <c r="A35" s="1"/>
    </row>
    <row r="36" spans="1:5" x14ac:dyDescent="0.25">
      <c r="A36" s="1" t="s">
        <v>19</v>
      </c>
      <c r="C36" s="50">
        <f>350000/C45</f>
        <v>37.71551724137931</v>
      </c>
      <c r="D36" t="s">
        <v>295</v>
      </c>
    </row>
    <row r="37" spans="1:5" x14ac:dyDescent="0.25">
      <c r="A37" s="4"/>
    </row>
    <row r="38" spans="1:5" x14ac:dyDescent="0.25">
      <c r="A38" s="36" t="s">
        <v>296</v>
      </c>
      <c r="D38" s="47"/>
    </row>
    <row r="39" spans="1:5" x14ac:dyDescent="0.25">
      <c r="A39" t="s">
        <v>297</v>
      </c>
      <c r="B39" s="4"/>
      <c r="C39" s="51">
        <v>30000</v>
      </c>
    </row>
    <row r="40" spans="1:5" x14ac:dyDescent="0.25">
      <c r="A40" t="s">
        <v>298</v>
      </c>
    </row>
    <row r="41" spans="1:5" x14ac:dyDescent="0.25">
      <c r="A41" t="s">
        <v>276</v>
      </c>
      <c r="C41" s="51">
        <f>E20+E21</f>
        <v>20600</v>
      </c>
    </row>
    <row r="42" spans="1:5" x14ac:dyDescent="0.25">
      <c r="A42" t="s">
        <v>277</v>
      </c>
      <c r="C42" s="51">
        <f>E24</f>
        <v>96</v>
      </c>
    </row>
    <row r="43" spans="1:5" x14ac:dyDescent="0.25">
      <c r="A43" t="s">
        <v>191</v>
      </c>
      <c r="C43" s="51">
        <f>E29</f>
        <v>24</v>
      </c>
    </row>
    <row r="45" spans="1:5" ht="15.75" thickBot="1" x14ac:dyDescent="0.3">
      <c r="C45" s="52">
        <f>C39-SUM(C41:C43)</f>
        <v>9280</v>
      </c>
    </row>
    <row r="46" spans="1:5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14"/>
  <sheetViews>
    <sheetView workbookViewId="0">
      <selection activeCell="F28" sqref="F28"/>
    </sheetView>
  </sheetViews>
  <sheetFormatPr defaultRowHeight="15" x14ac:dyDescent="0.25"/>
  <cols>
    <col min="3" max="3" width="9.140625" customWidth="1"/>
  </cols>
  <sheetData>
    <row r="1" spans="1:3" x14ac:dyDescent="0.25">
      <c r="A1" s="1" t="s">
        <v>15</v>
      </c>
    </row>
    <row r="2" spans="1:3" x14ac:dyDescent="0.25">
      <c r="A2" s="1" t="s">
        <v>8</v>
      </c>
    </row>
    <row r="4" spans="1:3" x14ac:dyDescent="0.25">
      <c r="A4" s="1" t="s">
        <v>7</v>
      </c>
    </row>
    <row r="6" spans="1:3" x14ac:dyDescent="0.25">
      <c r="A6" t="s">
        <v>4</v>
      </c>
      <c r="C6">
        <v>22.5</v>
      </c>
    </row>
    <row r="7" spans="1:3" x14ac:dyDescent="0.25">
      <c r="A7" t="s">
        <v>1</v>
      </c>
      <c r="C7">
        <v>45</v>
      </c>
    </row>
    <row r="8" spans="1:3" x14ac:dyDescent="0.25">
      <c r="A8" t="s">
        <v>2</v>
      </c>
      <c r="C8">
        <v>12.5</v>
      </c>
    </row>
    <row r="9" spans="1:3" x14ac:dyDescent="0.25">
      <c r="A9" t="s">
        <v>3</v>
      </c>
      <c r="C9">
        <v>119.76</v>
      </c>
    </row>
    <row r="10" spans="1:3" x14ac:dyDescent="0.25">
      <c r="A10" t="s">
        <v>5</v>
      </c>
      <c r="C10">
        <v>42.54</v>
      </c>
    </row>
    <row r="11" spans="1:3" x14ac:dyDescent="0.25">
      <c r="A11" t="s">
        <v>6</v>
      </c>
      <c r="C11">
        <v>123.54</v>
      </c>
    </row>
    <row r="13" spans="1:3" ht="15.75" thickBot="1" x14ac:dyDescent="0.3">
      <c r="A13" s="1" t="s">
        <v>9</v>
      </c>
      <c r="C13" s="58">
        <f>SUM(C6:C12)</f>
        <v>365.84</v>
      </c>
    </row>
    <row r="14" spans="1:3" ht="15.75" thickTop="1" x14ac:dyDescent="0.25"/>
  </sheetData>
  <customSheetViews>
    <customSheetView guid="{28759D3D-4935-4F4F-B5FE-C8D459AA4B3D}">
      <selection activeCell="A2" sqref="A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39"/>
  <dimension ref="A1:K35"/>
  <sheetViews>
    <sheetView tabSelected="1" workbookViewId="0">
      <selection activeCell="G14" sqref="G14"/>
    </sheetView>
  </sheetViews>
  <sheetFormatPr defaultRowHeight="15" x14ac:dyDescent="0.25"/>
  <cols>
    <col min="3" max="3" width="9.140625" customWidth="1"/>
    <col min="5" max="5" width="11.42578125" bestFit="1" customWidth="1"/>
  </cols>
  <sheetData>
    <row r="1" spans="1:7" x14ac:dyDescent="0.25">
      <c r="A1" s="1" t="s">
        <v>274</v>
      </c>
      <c r="C1" s="1"/>
    </row>
    <row r="3" spans="1:7" x14ac:dyDescent="0.25">
      <c r="A3" t="s">
        <v>301</v>
      </c>
    </row>
    <row r="5" spans="1:7" ht="30" x14ac:dyDescent="0.25">
      <c r="A5" s="1"/>
      <c r="B5" s="1"/>
      <c r="C5" s="1" t="s">
        <v>187</v>
      </c>
      <c r="D5" s="54" t="s">
        <v>307</v>
      </c>
      <c r="E5" s="1" t="s">
        <v>275</v>
      </c>
      <c r="F5" s="1" t="s">
        <v>308</v>
      </c>
    </row>
    <row r="6" spans="1:7" x14ac:dyDescent="0.25">
      <c r="A6" s="1"/>
      <c r="B6" s="1"/>
      <c r="C6" s="1"/>
      <c r="E6" s="1"/>
    </row>
    <row r="7" spans="1:7" x14ac:dyDescent="0.25">
      <c r="A7" s="41" t="s">
        <v>111</v>
      </c>
      <c r="B7" s="1"/>
      <c r="C7" s="35">
        <v>180000</v>
      </c>
      <c r="D7" s="35">
        <f>C7+(C7*$K$17)</f>
        <v>216000</v>
      </c>
      <c r="E7" s="35">
        <v>220000</v>
      </c>
      <c r="F7" s="35">
        <f>E7-D7</f>
        <v>4000</v>
      </c>
    </row>
    <row r="8" spans="1:7" x14ac:dyDescent="0.25">
      <c r="A8" t="s">
        <v>302</v>
      </c>
      <c r="C8" s="35"/>
      <c r="D8" s="35"/>
      <c r="E8" s="35"/>
      <c r="F8" s="35"/>
    </row>
    <row r="9" spans="1:7" x14ac:dyDescent="0.25">
      <c r="A9" t="s">
        <v>276</v>
      </c>
      <c r="C9" s="35">
        <v>25000</v>
      </c>
      <c r="D9" s="35">
        <f t="shared" ref="D9:D12" si="0">C9+(C9*$K$17)</f>
        <v>30000</v>
      </c>
      <c r="E9" s="35">
        <v>29000</v>
      </c>
      <c r="F9" s="35">
        <f>D9-E9</f>
        <v>1000</v>
      </c>
    </row>
    <row r="10" spans="1:7" x14ac:dyDescent="0.25">
      <c r="A10" t="s">
        <v>277</v>
      </c>
      <c r="C10" s="35">
        <v>18000</v>
      </c>
      <c r="D10" s="35">
        <f t="shared" si="0"/>
        <v>21600</v>
      </c>
      <c r="E10" s="35">
        <v>16000</v>
      </c>
      <c r="F10" s="35">
        <f t="shared" ref="F10:F13" si="1">D10-E10</f>
        <v>5600</v>
      </c>
    </row>
    <row r="11" spans="1:7" x14ac:dyDescent="0.25">
      <c r="A11" t="s">
        <v>278</v>
      </c>
      <c r="C11" s="35">
        <v>23000</v>
      </c>
      <c r="D11" s="35">
        <f t="shared" si="0"/>
        <v>27600</v>
      </c>
      <c r="E11" s="35">
        <v>21000</v>
      </c>
      <c r="F11" s="35">
        <f t="shared" si="1"/>
        <v>6600</v>
      </c>
    </row>
    <row r="12" spans="1:7" x14ac:dyDescent="0.25">
      <c r="A12" t="s">
        <v>279</v>
      </c>
      <c r="C12" s="35">
        <v>42000</v>
      </c>
      <c r="D12" s="35">
        <f t="shared" si="0"/>
        <v>50400</v>
      </c>
      <c r="E12" s="35">
        <v>37000</v>
      </c>
      <c r="F12" s="35">
        <f t="shared" si="1"/>
        <v>13400</v>
      </c>
    </row>
    <row r="13" spans="1:7" x14ac:dyDescent="0.25">
      <c r="A13" t="s">
        <v>300</v>
      </c>
      <c r="C13" s="35">
        <v>12000</v>
      </c>
      <c r="D13" s="35">
        <f>C13</f>
        <v>12000</v>
      </c>
      <c r="E13" s="35">
        <v>18000</v>
      </c>
      <c r="F13" s="120">
        <f t="shared" si="1"/>
        <v>-6000</v>
      </c>
    </row>
    <row r="14" spans="1:7" x14ac:dyDescent="0.25">
      <c r="A14" t="s">
        <v>84</v>
      </c>
      <c r="C14" s="35">
        <f>C7-SUM(C9:C13)</f>
        <v>60000</v>
      </c>
      <c r="D14" s="35">
        <f t="shared" ref="D14:E14" si="2">D7-SUM(D9:D13)</f>
        <v>74400</v>
      </c>
      <c r="E14" s="35">
        <f t="shared" si="2"/>
        <v>99000</v>
      </c>
      <c r="F14" s="35">
        <f>SUM(F7:F13)</f>
        <v>24600</v>
      </c>
      <c r="G14" t="str">
        <f>IF(F14=(E14-D14),"Agreed","Check")</f>
        <v>Agreed</v>
      </c>
    </row>
    <row r="16" spans="1:7" x14ac:dyDescent="0.25">
      <c r="A16" t="s">
        <v>280</v>
      </c>
    </row>
    <row r="17" spans="1:11" x14ac:dyDescent="0.25">
      <c r="A17" t="s">
        <v>281</v>
      </c>
      <c r="K17" s="53">
        <f>(12000-10000)/10000</f>
        <v>0.2</v>
      </c>
    </row>
    <row r="19" spans="1:11" x14ac:dyDescent="0.25">
      <c r="A19" s="62" t="s">
        <v>304</v>
      </c>
    </row>
    <row r="20" spans="1:11" x14ac:dyDescent="0.25">
      <c r="A20" s="62" t="s">
        <v>305</v>
      </c>
    </row>
    <row r="21" spans="1:11" x14ac:dyDescent="0.25">
      <c r="A21" s="62" t="s">
        <v>303</v>
      </c>
    </row>
    <row r="22" spans="1:11" x14ac:dyDescent="0.25">
      <c r="A22" s="62" t="s">
        <v>334</v>
      </c>
    </row>
    <row r="23" spans="1:11" x14ac:dyDescent="0.25">
      <c r="A23" s="62" t="s">
        <v>332</v>
      </c>
    </row>
    <row r="24" spans="1:11" x14ac:dyDescent="0.25">
      <c r="A24" s="62" t="s">
        <v>333</v>
      </c>
    </row>
    <row r="25" spans="1:11" x14ac:dyDescent="0.25">
      <c r="A25" s="62" t="s">
        <v>306</v>
      </c>
    </row>
    <row r="26" spans="1:11" x14ac:dyDescent="0.25">
      <c r="A26" s="1"/>
    </row>
    <row r="27" spans="1:11" x14ac:dyDescent="0.25">
      <c r="A27" s="1"/>
    </row>
    <row r="28" spans="1:11" x14ac:dyDescent="0.25">
      <c r="A28" s="1"/>
    </row>
    <row r="29" spans="1:11" x14ac:dyDescent="0.25">
      <c r="A29" s="1"/>
    </row>
    <row r="30" spans="1:11" x14ac:dyDescent="0.25">
      <c r="A30" s="1"/>
    </row>
    <row r="31" spans="1:11" x14ac:dyDescent="0.25">
      <c r="A31" s="1"/>
    </row>
    <row r="32" spans="1:1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</sheetData>
  <conditionalFormatting sqref="F7:F13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2267D-CC53-4348-80B2-904363FF6B9C}">
  <dimension ref="A1:E28"/>
  <sheetViews>
    <sheetView workbookViewId="0">
      <selection activeCell="D32" sqref="D32"/>
    </sheetView>
  </sheetViews>
  <sheetFormatPr defaultColWidth="8.85546875" defaultRowHeight="15" x14ac:dyDescent="0.25"/>
  <cols>
    <col min="1" max="1" width="11.5703125" style="61" customWidth="1"/>
    <col min="2" max="4" width="11" style="61" bestFit="1" customWidth="1"/>
    <col min="5" max="5" width="10" style="61" bestFit="1" customWidth="1"/>
    <col min="6" max="16384" width="8.85546875" style="61"/>
  </cols>
  <sheetData>
    <row r="1" spans="1:5" ht="15.75" thickBot="1" x14ac:dyDescent="0.3">
      <c r="A1" s="61" t="s">
        <v>340</v>
      </c>
    </row>
    <row r="2" spans="1:5" ht="15.75" thickTop="1" x14ac:dyDescent="0.25">
      <c r="A2" s="131"/>
      <c r="B2" s="64" t="s">
        <v>341</v>
      </c>
      <c r="C2" s="64" t="s">
        <v>342</v>
      </c>
      <c r="D2" s="133" t="s">
        <v>343</v>
      </c>
      <c r="E2" s="135" t="s">
        <v>344</v>
      </c>
    </row>
    <row r="3" spans="1:5" ht="15.75" thickBot="1" x14ac:dyDescent="0.3">
      <c r="A3" s="132"/>
      <c r="B3" s="65" t="s">
        <v>345</v>
      </c>
      <c r="C3" s="65" t="s">
        <v>346</v>
      </c>
      <c r="D3" s="134"/>
      <c r="E3" s="136"/>
    </row>
    <row r="4" spans="1:5" ht="15.75" thickBot="1" x14ac:dyDescent="0.3">
      <c r="A4" s="66" t="s">
        <v>347</v>
      </c>
      <c r="B4" s="67">
        <v>12500</v>
      </c>
      <c r="C4" s="67">
        <v>12500</v>
      </c>
      <c r="D4" s="68"/>
      <c r="E4" s="69"/>
    </row>
    <row r="5" spans="1:5" ht="15.75" thickBot="1" x14ac:dyDescent="0.3">
      <c r="A5" s="70"/>
      <c r="B5" s="71" t="s">
        <v>285</v>
      </c>
      <c r="C5" s="71" t="s">
        <v>285</v>
      </c>
      <c r="D5" s="71" t="s">
        <v>285</v>
      </c>
      <c r="E5" s="72"/>
    </row>
    <row r="6" spans="1:5" ht="30.75" thickBot="1" x14ac:dyDescent="0.3">
      <c r="A6" s="70" t="s">
        <v>348</v>
      </c>
      <c r="B6" s="78">
        <v>150000</v>
      </c>
      <c r="C6" s="78">
        <v>140000</v>
      </c>
      <c r="D6" s="78">
        <v>10000</v>
      </c>
      <c r="E6" s="73" t="s">
        <v>349</v>
      </c>
    </row>
    <row r="7" spans="1:5" ht="15.75" thickBot="1" x14ac:dyDescent="0.3">
      <c r="A7" s="70" t="s">
        <v>350</v>
      </c>
      <c r="B7" s="78"/>
      <c r="C7" s="78"/>
      <c r="D7" s="78"/>
      <c r="E7" s="73"/>
    </row>
    <row r="8" spans="1:5" ht="15.75" thickBot="1" x14ac:dyDescent="0.3">
      <c r="A8" s="70" t="s">
        <v>276</v>
      </c>
      <c r="B8" s="78">
        <v>43750</v>
      </c>
      <c r="C8" s="78">
        <v>45000</v>
      </c>
      <c r="D8" s="78">
        <v>1250</v>
      </c>
      <c r="E8" s="73" t="s">
        <v>349</v>
      </c>
    </row>
    <row r="9" spans="1:5" ht="15.75" thickBot="1" x14ac:dyDescent="0.3">
      <c r="A9" s="70" t="s">
        <v>277</v>
      </c>
      <c r="B9" s="78">
        <v>58750</v>
      </c>
      <c r="C9" s="78">
        <v>56000</v>
      </c>
      <c r="D9" s="78">
        <v>2750</v>
      </c>
      <c r="E9" s="73" t="s">
        <v>351</v>
      </c>
    </row>
    <row r="10" spans="1:5" ht="30.75" thickBot="1" x14ac:dyDescent="0.3">
      <c r="A10" s="70" t="s">
        <v>191</v>
      </c>
      <c r="B10" s="78">
        <v>12500</v>
      </c>
      <c r="C10" s="78">
        <v>12500</v>
      </c>
      <c r="D10" s="78">
        <v>0</v>
      </c>
      <c r="E10" s="73"/>
    </row>
    <row r="11" spans="1:5" ht="30.75" thickBot="1" x14ac:dyDescent="0.3">
      <c r="A11" s="70" t="s">
        <v>192</v>
      </c>
      <c r="B11" s="78">
        <v>15000</v>
      </c>
      <c r="C11" s="78">
        <v>21500</v>
      </c>
      <c r="D11" s="78">
        <v>6500</v>
      </c>
      <c r="E11" s="73" t="s">
        <v>349</v>
      </c>
    </row>
    <row r="12" spans="1:5" ht="15.75" thickBot="1" x14ac:dyDescent="0.3">
      <c r="A12" s="74" t="s">
        <v>84</v>
      </c>
      <c r="B12" s="79">
        <v>20000</v>
      </c>
      <c r="C12" s="79">
        <v>5000</v>
      </c>
      <c r="D12" s="79">
        <v>17500</v>
      </c>
      <c r="E12" s="75" t="s">
        <v>349</v>
      </c>
    </row>
    <row r="13" spans="1:5" ht="15.75" thickTop="1" x14ac:dyDescent="0.25"/>
    <row r="14" spans="1:5" ht="15" customHeight="1" x14ac:dyDescent="0.25">
      <c r="A14" s="137" t="s">
        <v>356</v>
      </c>
      <c r="B14" s="137"/>
      <c r="C14" s="137"/>
      <c r="D14" s="137"/>
    </row>
    <row r="15" spans="1:5" ht="15.75" thickBot="1" x14ac:dyDescent="0.3"/>
    <row r="16" spans="1:5" ht="15.75" thickTop="1" x14ac:dyDescent="0.25">
      <c r="A16" s="131"/>
      <c r="B16" s="64"/>
      <c r="C16" s="64"/>
      <c r="D16" s="64"/>
    </row>
    <row r="17" spans="1:4" ht="15.75" thickBot="1" x14ac:dyDescent="0.3">
      <c r="A17" s="132"/>
      <c r="B17" s="65"/>
      <c r="C17" s="65"/>
      <c r="D17" s="65" t="s">
        <v>285</v>
      </c>
    </row>
    <row r="18" spans="1:4" ht="30.75" thickBot="1" x14ac:dyDescent="0.3">
      <c r="A18" s="66" t="s">
        <v>352</v>
      </c>
      <c r="B18" s="68"/>
      <c r="C18" s="68"/>
      <c r="D18" s="82">
        <v>20000</v>
      </c>
    </row>
    <row r="19" spans="1:4" ht="15.75" thickBot="1" x14ac:dyDescent="0.3">
      <c r="A19" s="70"/>
      <c r="B19" s="71" t="s">
        <v>353</v>
      </c>
      <c r="C19" s="71" t="s">
        <v>354</v>
      </c>
      <c r="D19" s="71"/>
    </row>
    <row r="20" spans="1:4" ht="30.75" thickBot="1" x14ac:dyDescent="0.3">
      <c r="A20" s="70" t="s">
        <v>348</v>
      </c>
      <c r="B20" s="78"/>
      <c r="C20" s="78">
        <v>10000</v>
      </c>
      <c r="D20" s="78"/>
    </row>
    <row r="21" spans="1:4" ht="15.75" thickBot="1" x14ac:dyDescent="0.3">
      <c r="A21" s="70"/>
      <c r="B21" s="78"/>
      <c r="C21" s="78"/>
      <c r="D21" s="78"/>
    </row>
    <row r="22" spans="1:4" ht="15.75" thickBot="1" x14ac:dyDescent="0.3">
      <c r="A22" s="70" t="s">
        <v>276</v>
      </c>
      <c r="B22" s="78"/>
      <c r="C22" s="78">
        <v>1250</v>
      </c>
      <c r="D22" s="78"/>
    </row>
    <row r="23" spans="1:4" ht="15.75" thickBot="1" x14ac:dyDescent="0.3">
      <c r="A23" s="70" t="s">
        <v>277</v>
      </c>
      <c r="B23" s="78">
        <v>2750</v>
      </c>
      <c r="C23" s="78"/>
      <c r="D23" s="78"/>
    </row>
    <row r="24" spans="1:4" ht="30.75" thickBot="1" x14ac:dyDescent="0.3">
      <c r="A24" s="70" t="s">
        <v>191</v>
      </c>
      <c r="B24" s="78">
        <v>0</v>
      </c>
      <c r="C24" s="78"/>
      <c r="D24" s="78"/>
    </row>
    <row r="25" spans="1:4" ht="30" x14ac:dyDescent="0.25">
      <c r="A25" s="76" t="s">
        <v>192</v>
      </c>
      <c r="B25" s="80"/>
      <c r="C25" s="80">
        <v>6500</v>
      </c>
      <c r="D25" s="80"/>
    </row>
    <row r="26" spans="1:4" x14ac:dyDescent="0.25">
      <c r="A26" s="77"/>
      <c r="B26" s="81">
        <f>SUM(B20:B25)</f>
        <v>2750</v>
      </c>
      <c r="C26" s="81">
        <f>SUM(C20:C25)</f>
        <v>17750</v>
      </c>
      <c r="D26" s="81">
        <f>B26-C26</f>
        <v>-15000</v>
      </c>
    </row>
    <row r="27" spans="1:4" ht="30.75" thickBot="1" x14ac:dyDescent="0.3">
      <c r="A27" s="74" t="s">
        <v>355</v>
      </c>
      <c r="B27" s="79"/>
      <c r="C27" s="79"/>
      <c r="D27" s="79">
        <f>D18+D26</f>
        <v>5000</v>
      </c>
    </row>
    <row r="28" spans="1:4" ht="15.75" thickTop="1" x14ac:dyDescent="0.25"/>
  </sheetData>
  <mergeCells count="5">
    <mergeCell ref="A2:A3"/>
    <mergeCell ref="D2:D3"/>
    <mergeCell ref="E2:E3"/>
    <mergeCell ref="A14:D14"/>
    <mergeCell ref="A16:A1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CAD76-8288-4A11-9012-FE64916A0631}">
  <dimension ref="A1:F30"/>
  <sheetViews>
    <sheetView topLeftCell="A5" zoomScale="80" zoomScaleNormal="80" workbookViewId="0">
      <selection activeCell="L16" sqref="L15:L16"/>
    </sheetView>
  </sheetViews>
  <sheetFormatPr defaultColWidth="8.85546875" defaultRowHeight="15" x14ac:dyDescent="0.25"/>
  <cols>
    <col min="1" max="1" width="53.140625" style="61" customWidth="1"/>
    <col min="2" max="2" width="35.42578125" style="61" customWidth="1"/>
    <col min="3" max="3" width="11.5703125" style="61" customWidth="1"/>
    <col min="4" max="4" width="10.42578125" style="61" customWidth="1"/>
    <col min="5" max="16384" width="8.85546875" style="61"/>
  </cols>
  <sheetData>
    <row r="1" spans="1:6" ht="45" x14ac:dyDescent="0.25">
      <c r="A1" s="121" t="s">
        <v>357</v>
      </c>
    </row>
    <row r="2" spans="1:6" x14ac:dyDescent="0.25">
      <c r="A2" s="83"/>
      <c r="B2" s="122" t="s">
        <v>285</v>
      </c>
    </row>
    <row r="3" spans="1:6" x14ac:dyDescent="0.25">
      <c r="A3" s="83" t="s">
        <v>358</v>
      </c>
      <c r="B3" s="83">
        <v>32000</v>
      </c>
    </row>
    <row r="4" spans="1:6" x14ac:dyDescent="0.25">
      <c r="A4" s="83" t="s">
        <v>359</v>
      </c>
      <c r="B4" s="83">
        <v>12000</v>
      </c>
    </row>
    <row r="5" spans="1:6" x14ac:dyDescent="0.25">
      <c r="A5" s="83" t="s">
        <v>360</v>
      </c>
      <c r="B5" s="83">
        <v>8000</v>
      </c>
    </row>
    <row r="6" spans="1:6" x14ac:dyDescent="0.25">
      <c r="A6" s="83" t="s">
        <v>361</v>
      </c>
      <c r="B6" s="83">
        <v>5000</v>
      </c>
    </row>
    <row r="7" spans="1:6" x14ac:dyDescent="0.25">
      <c r="A7" s="83" t="s">
        <v>362</v>
      </c>
      <c r="B7" s="83">
        <v>3000</v>
      </c>
    </row>
    <row r="8" spans="1:6" ht="15.75" thickBot="1" x14ac:dyDescent="0.3">
      <c r="A8" s="84" t="s">
        <v>363</v>
      </c>
    </row>
    <row r="9" spans="1:6" ht="16.5" thickTop="1" thickBot="1" x14ac:dyDescent="0.3">
      <c r="A9" s="85"/>
      <c r="B9" s="86" t="s">
        <v>364</v>
      </c>
      <c r="C9" s="86" t="s">
        <v>365</v>
      </c>
      <c r="D9" s="87" t="s">
        <v>366</v>
      </c>
    </row>
    <row r="10" spans="1:6" ht="15.75" thickBot="1" x14ac:dyDescent="0.3">
      <c r="A10" s="88" t="s">
        <v>367</v>
      </c>
      <c r="B10" s="89">
        <v>600</v>
      </c>
      <c r="C10" s="89">
        <v>250</v>
      </c>
      <c r="D10" s="90">
        <v>150</v>
      </c>
    </row>
    <row r="11" spans="1:6" ht="15.75" thickBot="1" x14ac:dyDescent="0.3">
      <c r="A11" s="91" t="s">
        <v>368</v>
      </c>
      <c r="B11" s="92">
        <v>250</v>
      </c>
      <c r="C11" s="92">
        <v>150</v>
      </c>
      <c r="D11" s="93">
        <v>100</v>
      </c>
    </row>
    <row r="12" spans="1:6" ht="15.75" thickBot="1" x14ac:dyDescent="0.3">
      <c r="A12" s="94" t="s">
        <v>369</v>
      </c>
      <c r="B12" s="95">
        <v>12000</v>
      </c>
      <c r="C12" s="95">
        <v>6000</v>
      </c>
      <c r="D12" s="96">
        <v>2000</v>
      </c>
    </row>
    <row r="13" spans="1:6" ht="41.45" customHeight="1" thickTop="1" x14ac:dyDescent="0.25">
      <c r="A13" s="121" t="s">
        <v>370</v>
      </c>
    </row>
    <row r="14" spans="1:6" ht="15" customHeight="1" thickBot="1" x14ac:dyDescent="0.3"/>
    <row r="15" spans="1:6" ht="15" customHeight="1" thickTop="1" x14ac:dyDescent="0.25">
      <c r="A15" s="138" t="s">
        <v>371</v>
      </c>
      <c r="B15" s="140" t="s">
        <v>372</v>
      </c>
      <c r="C15" s="97" t="s">
        <v>9</v>
      </c>
      <c r="D15" s="97" t="s">
        <v>364</v>
      </c>
      <c r="E15" s="97" t="s">
        <v>365</v>
      </c>
      <c r="F15" s="98" t="s">
        <v>366</v>
      </c>
    </row>
    <row r="16" spans="1:6" ht="15" customHeight="1" x14ac:dyDescent="0.25">
      <c r="A16" s="139"/>
      <c r="B16" s="141"/>
      <c r="C16" s="99" t="s">
        <v>285</v>
      </c>
      <c r="D16" s="99" t="s">
        <v>285</v>
      </c>
      <c r="E16" s="99" t="s">
        <v>285</v>
      </c>
      <c r="F16" s="100" t="s">
        <v>285</v>
      </c>
    </row>
    <row r="17" spans="1:6" ht="15" customHeight="1" x14ac:dyDescent="0.25">
      <c r="A17" s="142" t="s">
        <v>358</v>
      </c>
      <c r="B17" s="105" t="s">
        <v>373</v>
      </c>
      <c r="C17" s="143">
        <v>32000</v>
      </c>
      <c r="D17" s="144">
        <f>C17*(600/1000)</f>
        <v>19200</v>
      </c>
      <c r="E17" s="144">
        <f>C17*(250/1000)</f>
        <v>8000</v>
      </c>
      <c r="F17" s="144">
        <f>C17*150/1000</f>
        <v>4800</v>
      </c>
    </row>
    <row r="18" spans="1:6" ht="15" customHeight="1" x14ac:dyDescent="0.25">
      <c r="A18" s="142"/>
      <c r="B18" s="106" t="s">
        <v>374</v>
      </c>
      <c r="C18" s="143"/>
      <c r="D18" s="144"/>
      <c r="E18" s="144"/>
      <c r="F18" s="144"/>
    </row>
    <row r="19" spans="1:6" ht="15" customHeight="1" x14ac:dyDescent="0.25">
      <c r="A19" s="103" t="s">
        <v>375</v>
      </c>
      <c r="B19" s="104" t="s">
        <v>376</v>
      </c>
      <c r="C19" s="107">
        <v>12000</v>
      </c>
      <c r="D19" s="108">
        <f>C19</f>
        <v>12000</v>
      </c>
      <c r="E19" s="108"/>
      <c r="F19" s="108"/>
    </row>
    <row r="20" spans="1:6" ht="15" customHeight="1" x14ac:dyDescent="0.25">
      <c r="A20" s="103" t="s">
        <v>360</v>
      </c>
      <c r="B20" s="102" t="s">
        <v>377</v>
      </c>
      <c r="C20" s="107">
        <v>8000</v>
      </c>
      <c r="D20" s="108">
        <f>C20/500*250</f>
        <v>4000</v>
      </c>
      <c r="E20" s="108">
        <f>C20/500*150</f>
        <v>2400</v>
      </c>
      <c r="F20" s="108">
        <f>C20/500*100</f>
        <v>1600</v>
      </c>
    </row>
    <row r="21" spans="1:6" ht="15" customHeight="1" x14ac:dyDescent="0.25">
      <c r="A21" s="103" t="s">
        <v>361</v>
      </c>
      <c r="B21" s="102" t="s">
        <v>378</v>
      </c>
      <c r="C21" s="107">
        <v>5000</v>
      </c>
      <c r="D21" s="108">
        <f>C21/20000*12000</f>
        <v>3000</v>
      </c>
      <c r="E21" s="108">
        <f>C21/20000*6000</f>
        <v>1500</v>
      </c>
      <c r="F21" s="108">
        <f>C21/20000*2000</f>
        <v>500</v>
      </c>
    </row>
    <row r="22" spans="1:6" ht="15" customHeight="1" x14ac:dyDescent="0.25">
      <c r="A22" s="103" t="s">
        <v>362</v>
      </c>
      <c r="B22" s="102" t="s">
        <v>379</v>
      </c>
      <c r="C22" s="107">
        <v>3000</v>
      </c>
      <c r="D22" s="108"/>
      <c r="E22" s="108"/>
      <c r="F22" s="108">
        <f>C22</f>
        <v>3000</v>
      </c>
    </row>
    <row r="23" spans="1:6" ht="15" customHeight="1" x14ac:dyDescent="0.25">
      <c r="A23" s="145" t="s">
        <v>263</v>
      </c>
      <c r="B23" s="146"/>
      <c r="C23" s="147">
        <v>60000</v>
      </c>
      <c r="D23" s="144">
        <f>SUM(D17:D22)</f>
        <v>38200</v>
      </c>
      <c r="E23" s="144">
        <f t="shared" ref="E23:F23" si="0">SUM(E17:E22)</f>
        <v>11900</v>
      </c>
      <c r="F23" s="144">
        <f t="shared" si="0"/>
        <v>9900</v>
      </c>
    </row>
    <row r="24" spans="1:6" ht="15" customHeight="1" x14ac:dyDescent="0.25">
      <c r="A24" s="145"/>
      <c r="B24" s="146"/>
      <c r="C24" s="147"/>
      <c r="D24" s="144"/>
      <c r="E24" s="144"/>
      <c r="F24" s="144"/>
    </row>
    <row r="30" spans="1:6" x14ac:dyDescent="0.25">
      <c r="B30" s="37" t="s">
        <v>419</v>
      </c>
    </row>
  </sheetData>
  <mergeCells count="13">
    <mergeCell ref="F17:F18"/>
    <mergeCell ref="A23:A24"/>
    <mergeCell ref="B23:B24"/>
    <mergeCell ref="C23:C24"/>
    <mergeCell ref="D23:D24"/>
    <mergeCell ref="E23:E24"/>
    <mergeCell ref="F23:F24"/>
    <mergeCell ref="E17:E18"/>
    <mergeCell ref="A15:A16"/>
    <mergeCell ref="B15:B16"/>
    <mergeCell ref="A17:A18"/>
    <mergeCell ref="C17:C18"/>
    <mergeCell ref="D17:D18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95875-DAF1-455A-A84E-71513C0395AB}">
  <dimension ref="A1:B27"/>
  <sheetViews>
    <sheetView zoomScale="90" zoomScaleNormal="90" workbookViewId="0">
      <selection activeCell="B16" sqref="B16"/>
    </sheetView>
  </sheetViews>
  <sheetFormatPr defaultColWidth="8.85546875" defaultRowHeight="15" x14ac:dyDescent="0.25"/>
  <cols>
    <col min="1" max="1" width="64.85546875" style="61" customWidth="1"/>
    <col min="2" max="2" width="11.140625" style="61" customWidth="1"/>
    <col min="3" max="16384" width="8.85546875" style="61"/>
  </cols>
  <sheetData>
    <row r="1" spans="1:2" ht="15.75" thickBot="1" x14ac:dyDescent="0.3">
      <c r="A1" s="101" t="s">
        <v>380</v>
      </c>
    </row>
    <row r="2" spans="1:2" ht="16.5" thickTop="1" thickBot="1" x14ac:dyDescent="0.3">
      <c r="A2" s="85" t="s">
        <v>381</v>
      </c>
      <c r="B2" s="98">
        <v>10000</v>
      </c>
    </row>
    <row r="3" spans="1:2" ht="15.75" thickBot="1" x14ac:dyDescent="0.3">
      <c r="A3" s="88"/>
      <c r="B3" s="113" t="s">
        <v>382</v>
      </c>
    </row>
    <row r="4" spans="1:2" ht="15.75" thickBot="1" x14ac:dyDescent="0.3">
      <c r="A4" s="91" t="s">
        <v>348</v>
      </c>
      <c r="B4" s="114">
        <v>150000</v>
      </c>
    </row>
    <row r="5" spans="1:2" ht="15.75" thickBot="1" x14ac:dyDescent="0.3">
      <c r="A5" s="91" t="s">
        <v>383</v>
      </c>
      <c r="B5" s="114"/>
    </row>
    <row r="6" spans="1:2" ht="15.75" thickBot="1" x14ac:dyDescent="0.3">
      <c r="A6" s="91" t="s">
        <v>384</v>
      </c>
      <c r="B6" s="114">
        <v>30000</v>
      </c>
    </row>
    <row r="7" spans="1:2" ht="15.75" thickBot="1" x14ac:dyDescent="0.3">
      <c r="A7" s="91" t="s">
        <v>385</v>
      </c>
      <c r="B7" s="114">
        <v>18000</v>
      </c>
    </row>
    <row r="8" spans="1:2" ht="15.75" thickBot="1" x14ac:dyDescent="0.3">
      <c r="A8" s="91" t="s">
        <v>386</v>
      </c>
      <c r="B8" s="114">
        <v>18000</v>
      </c>
    </row>
    <row r="9" spans="1:2" ht="15.75" thickBot="1" x14ac:dyDescent="0.3">
      <c r="A9" s="91" t="s">
        <v>387</v>
      </c>
      <c r="B9" s="114"/>
    </row>
    <row r="10" spans="1:2" ht="15.75" thickBot="1" x14ac:dyDescent="0.3">
      <c r="A10" s="91" t="s">
        <v>388</v>
      </c>
      <c r="B10" s="114">
        <v>22000</v>
      </c>
    </row>
    <row r="11" spans="1:2" ht="15.75" thickBot="1" x14ac:dyDescent="0.3">
      <c r="A11" s="91" t="s">
        <v>386</v>
      </c>
      <c r="B11" s="114">
        <v>44000</v>
      </c>
    </row>
    <row r="12" spans="1:2" ht="15.75" thickBot="1" x14ac:dyDescent="0.3">
      <c r="A12" s="94" t="s">
        <v>389</v>
      </c>
      <c r="B12" s="115">
        <v>45000</v>
      </c>
    </row>
    <row r="13" spans="1:2" ht="83.45" customHeight="1" thickTop="1" x14ac:dyDescent="0.25">
      <c r="A13" s="148" t="s">
        <v>390</v>
      </c>
      <c r="B13" s="148"/>
    </row>
    <row r="14" spans="1:2" ht="15.75" thickBot="1" x14ac:dyDescent="0.3">
      <c r="A14" s="109" t="s">
        <v>391</v>
      </c>
    </row>
    <row r="15" spans="1:2" ht="16.5" thickTop="1" thickBot="1" x14ac:dyDescent="0.3">
      <c r="A15" s="149" t="s">
        <v>392</v>
      </c>
      <c r="B15" s="150"/>
    </row>
    <row r="16" spans="1:2" ht="15.75" thickBot="1" x14ac:dyDescent="0.3">
      <c r="A16" s="88" t="s">
        <v>387</v>
      </c>
      <c r="B16" s="110">
        <f>B10+B11+6000</f>
        <v>72000</v>
      </c>
    </row>
    <row r="17" spans="1:2" ht="15.75" thickBot="1" x14ac:dyDescent="0.3">
      <c r="A17" s="91" t="s">
        <v>393</v>
      </c>
      <c r="B17" s="111">
        <f>B12</f>
        <v>45000</v>
      </c>
    </row>
    <row r="18" spans="1:2" ht="15.75" thickBot="1" x14ac:dyDescent="0.3">
      <c r="A18" s="91" t="s">
        <v>394</v>
      </c>
      <c r="B18" s="111">
        <f>B16+B17</f>
        <v>117000</v>
      </c>
    </row>
    <row r="19" spans="1:2" ht="15.75" thickBot="1" x14ac:dyDescent="0.3">
      <c r="A19" s="91" t="s">
        <v>348</v>
      </c>
      <c r="B19" s="111">
        <f>B4</f>
        <v>150000</v>
      </c>
    </row>
    <row r="20" spans="1:2" ht="15.75" thickBot="1" x14ac:dyDescent="0.3">
      <c r="A20" s="91" t="s">
        <v>395</v>
      </c>
      <c r="B20" s="111">
        <f>B6+B7+B8-6000</f>
        <v>60000</v>
      </c>
    </row>
    <row r="21" spans="1:2" ht="15.75" thickBot="1" x14ac:dyDescent="0.3">
      <c r="A21" s="91" t="s">
        <v>309</v>
      </c>
      <c r="B21" s="111">
        <f>B19-B20</f>
        <v>90000</v>
      </c>
    </row>
    <row r="22" spans="1:2" ht="15.75" thickBot="1" x14ac:dyDescent="0.3">
      <c r="A22" s="91" t="s">
        <v>396</v>
      </c>
      <c r="B22" s="111">
        <f>B21/B2</f>
        <v>9</v>
      </c>
    </row>
    <row r="23" spans="1:2" ht="15.75" thickBot="1" x14ac:dyDescent="0.3">
      <c r="A23" s="91" t="s">
        <v>397</v>
      </c>
      <c r="B23" s="111">
        <f>B16/B22</f>
        <v>8000</v>
      </c>
    </row>
    <row r="24" spans="1:2" ht="15.75" thickBot="1" x14ac:dyDescent="0.3">
      <c r="A24" s="91" t="s">
        <v>398</v>
      </c>
      <c r="B24" s="111">
        <f>B23*(B4/B2)</f>
        <v>120000</v>
      </c>
    </row>
    <row r="25" spans="1:2" ht="15.75" thickBot="1" x14ac:dyDescent="0.3">
      <c r="A25" s="91" t="s">
        <v>399</v>
      </c>
      <c r="B25" s="111">
        <f>B18/B22</f>
        <v>13000</v>
      </c>
    </row>
    <row r="26" spans="1:2" ht="15.75" thickBot="1" x14ac:dyDescent="0.3">
      <c r="A26" s="94" t="s">
        <v>400</v>
      </c>
      <c r="B26" s="112">
        <f>B25*(B4/B2)</f>
        <v>195000</v>
      </c>
    </row>
    <row r="27" spans="1:2" ht="15.75" thickTop="1" x14ac:dyDescent="0.25"/>
  </sheetData>
  <mergeCells count="2">
    <mergeCell ref="A13:B13"/>
    <mergeCell ref="A15:B1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5A4BB-F717-4D54-B93C-1238AA884CDD}">
  <dimension ref="A1:F23"/>
  <sheetViews>
    <sheetView topLeftCell="A7" zoomScale="90" zoomScaleNormal="90" workbookViewId="0">
      <selection activeCell="D16" sqref="D16:D17"/>
    </sheetView>
  </sheetViews>
  <sheetFormatPr defaultColWidth="8.85546875" defaultRowHeight="15" x14ac:dyDescent="0.25"/>
  <cols>
    <col min="1" max="1" width="26.140625" style="61" customWidth="1"/>
    <col min="2" max="3" width="8.42578125" style="61" customWidth="1"/>
    <col min="4" max="4" width="9.42578125" style="61" customWidth="1"/>
    <col min="5" max="5" width="9.140625" style="61" customWidth="1"/>
    <col min="6" max="6" width="9.42578125" style="61" customWidth="1"/>
    <col min="7" max="16384" width="8.85546875" style="61"/>
  </cols>
  <sheetData>
    <row r="1" spans="1:6" ht="39" customHeight="1" x14ac:dyDescent="0.25">
      <c r="A1" s="151" t="s">
        <v>401</v>
      </c>
      <c r="B1" s="151"/>
      <c r="C1" s="151"/>
      <c r="D1" s="151"/>
      <c r="E1" s="151"/>
      <c r="F1" s="151"/>
    </row>
    <row r="2" spans="1:6" x14ac:dyDescent="0.25">
      <c r="A2" s="123" t="s">
        <v>406</v>
      </c>
      <c r="B2" s="83">
        <v>100000</v>
      </c>
    </row>
    <row r="3" spans="1:6" x14ac:dyDescent="0.25">
      <c r="A3" s="123" t="s">
        <v>407</v>
      </c>
      <c r="B3" s="83">
        <v>110000</v>
      </c>
    </row>
    <row r="4" spans="1:6" x14ac:dyDescent="0.25">
      <c r="A4" s="123" t="s">
        <v>408</v>
      </c>
      <c r="B4" s="83">
        <v>120000</v>
      </c>
    </row>
    <row r="5" spans="1:6" x14ac:dyDescent="0.25">
      <c r="A5" s="123" t="s">
        <v>409</v>
      </c>
      <c r="B5" s="83">
        <v>130000</v>
      </c>
    </row>
    <row r="6" spans="1:6" x14ac:dyDescent="0.25">
      <c r="A6" s="123" t="s">
        <v>410</v>
      </c>
      <c r="B6" s="83">
        <v>140000</v>
      </c>
    </row>
    <row r="7" spans="1:6" s="116" customFormat="1" x14ac:dyDescent="0.25">
      <c r="A7" s="152" t="s">
        <v>402</v>
      </c>
      <c r="B7" s="152"/>
      <c r="C7" s="152"/>
      <c r="D7" s="152"/>
      <c r="E7" s="152"/>
      <c r="F7" s="152"/>
    </row>
    <row r="8" spans="1:6" s="116" customFormat="1" ht="46.35" customHeight="1" x14ac:dyDescent="0.25">
      <c r="A8" s="137" t="s">
        <v>403</v>
      </c>
      <c r="B8" s="137"/>
      <c r="C8" s="137"/>
      <c r="D8" s="137"/>
      <c r="E8" s="137"/>
      <c r="F8" s="137"/>
    </row>
    <row r="9" spans="1:6" s="116" customFormat="1" ht="29.45" customHeight="1" x14ac:dyDescent="0.25">
      <c r="A9" s="137" t="s">
        <v>404</v>
      </c>
      <c r="B9" s="137"/>
      <c r="C9" s="137"/>
      <c r="D9" s="137"/>
      <c r="E9" s="137"/>
      <c r="F9" s="137"/>
    </row>
    <row r="10" spans="1:6" s="116" customFormat="1" x14ac:dyDescent="0.25">
      <c r="A10" s="153" t="s">
        <v>405</v>
      </c>
      <c r="B10" s="153"/>
      <c r="C10" s="153"/>
      <c r="D10" s="153"/>
      <c r="E10" s="153"/>
      <c r="F10" s="153"/>
    </row>
    <row r="11" spans="1:6" s="116" customFormat="1" x14ac:dyDescent="0.25">
      <c r="A11" s="137"/>
      <c r="B11" s="137"/>
      <c r="C11" s="137"/>
      <c r="D11" s="137"/>
      <c r="E11" s="137"/>
      <c r="F11" s="137"/>
    </row>
    <row r="12" spans="1:6" s="116" customFormat="1" ht="15.75" thickBot="1" x14ac:dyDescent="0.3">
      <c r="A12" s="155"/>
      <c r="B12" s="155"/>
      <c r="C12" s="155"/>
      <c r="D12" s="155"/>
      <c r="E12" s="155"/>
      <c r="F12" s="155"/>
    </row>
    <row r="13" spans="1:6" ht="15.75" thickTop="1" x14ac:dyDescent="0.25">
      <c r="A13" s="117"/>
      <c r="B13" s="97" t="s">
        <v>406</v>
      </c>
      <c r="C13" s="97" t="s">
        <v>407</v>
      </c>
      <c r="D13" s="97" t="s">
        <v>408</v>
      </c>
      <c r="E13" s="97" t="s">
        <v>409</v>
      </c>
      <c r="F13" s="98" t="s">
        <v>410</v>
      </c>
    </row>
    <row r="14" spans="1:6" ht="25.35" customHeight="1" x14ac:dyDescent="0.25">
      <c r="A14" s="145" t="s">
        <v>411</v>
      </c>
      <c r="B14" s="156">
        <v>100000</v>
      </c>
      <c r="C14" s="156">
        <v>110000</v>
      </c>
      <c r="D14" s="156">
        <v>120000</v>
      </c>
      <c r="E14" s="156">
        <v>130000</v>
      </c>
      <c r="F14" s="156">
        <v>140000</v>
      </c>
    </row>
    <row r="15" spans="1:6" x14ac:dyDescent="0.25">
      <c r="A15" s="145"/>
      <c r="B15" s="156"/>
      <c r="C15" s="156"/>
      <c r="D15" s="156"/>
      <c r="E15" s="156"/>
      <c r="F15" s="156"/>
    </row>
    <row r="16" spans="1:6" ht="56.45" customHeight="1" x14ac:dyDescent="0.25">
      <c r="A16" s="145" t="s">
        <v>412</v>
      </c>
      <c r="B16" s="146"/>
      <c r="C16" s="146"/>
      <c r="D16" s="154">
        <f>D14*0.6</f>
        <v>72000</v>
      </c>
      <c r="E16" s="154">
        <f>E14*0.6</f>
        <v>78000</v>
      </c>
      <c r="F16" s="154">
        <f>F14*0.6</f>
        <v>84000</v>
      </c>
    </row>
    <row r="17" spans="1:6" hidden="1" x14ac:dyDescent="0.25">
      <c r="A17" s="145"/>
      <c r="B17" s="146"/>
      <c r="C17" s="146"/>
      <c r="D17" s="154"/>
      <c r="E17" s="154"/>
      <c r="F17" s="154"/>
    </row>
    <row r="18" spans="1:6" ht="28.5" x14ac:dyDescent="0.25">
      <c r="A18" s="119" t="s">
        <v>413</v>
      </c>
      <c r="B18" s="146"/>
      <c r="C18" s="146"/>
      <c r="D18" s="154">
        <f>(C14*0.4)*0.5*0.95</f>
        <v>20900</v>
      </c>
      <c r="E18" s="154">
        <f t="shared" ref="E18:F18" si="0">(D14*0.4)*0.5*0.95</f>
        <v>22800</v>
      </c>
      <c r="F18" s="154">
        <f t="shared" si="0"/>
        <v>24700</v>
      </c>
    </row>
    <row r="19" spans="1:6" ht="42.75" x14ac:dyDescent="0.25">
      <c r="A19" s="118" t="s">
        <v>414</v>
      </c>
      <c r="B19" s="146"/>
      <c r="C19" s="146"/>
      <c r="D19" s="154"/>
      <c r="E19" s="154"/>
      <c r="F19" s="154"/>
    </row>
    <row r="20" spans="1:6" ht="28.5" x14ac:dyDescent="0.25">
      <c r="A20" s="119" t="s">
        <v>415</v>
      </c>
      <c r="B20" s="146"/>
      <c r="C20" s="146"/>
      <c r="D20" s="154">
        <f>(B14*0.4)*0.5</f>
        <v>20000</v>
      </c>
      <c r="E20" s="154">
        <f t="shared" ref="E20:F20" si="1">(C14*0.4)*0.5</f>
        <v>22000</v>
      </c>
      <c r="F20" s="154">
        <f t="shared" si="1"/>
        <v>24000</v>
      </c>
    </row>
    <row r="21" spans="1:6" ht="28.5" x14ac:dyDescent="0.25">
      <c r="A21" s="118" t="s">
        <v>416</v>
      </c>
      <c r="B21" s="146"/>
      <c r="C21" s="146"/>
      <c r="D21" s="154"/>
      <c r="E21" s="154"/>
      <c r="F21" s="154"/>
    </row>
    <row r="22" spans="1:6" ht="48" customHeight="1" x14ac:dyDescent="0.25">
      <c r="A22" s="145" t="s">
        <v>417</v>
      </c>
      <c r="B22" s="156"/>
      <c r="C22" s="156"/>
      <c r="D22" s="157">
        <f>SUM(D16:D21)</f>
        <v>112900</v>
      </c>
      <c r="E22" s="157">
        <f t="shared" ref="E22:F22" si="2">SUM(E16:E21)</f>
        <v>122800</v>
      </c>
      <c r="F22" s="157">
        <f t="shared" si="2"/>
        <v>132700</v>
      </c>
    </row>
    <row r="23" spans="1:6" x14ac:dyDescent="0.25">
      <c r="A23" s="145"/>
      <c r="B23" s="156"/>
      <c r="C23" s="156"/>
      <c r="D23" s="157"/>
      <c r="E23" s="157"/>
      <c r="F23" s="157"/>
    </row>
  </sheetData>
  <mergeCells count="35">
    <mergeCell ref="A22:A23"/>
    <mergeCell ref="B22:B23"/>
    <mergeCell ref="C22:C23"/>
    <mergeCell ref="D22:D23"/>
    <mergeCell ref="E22:E23"/>
    <mergeCell ref="F22:F23"/>
    <mergeCell ref="B18:B19"/>
    <mergeCell ref="C18:C19"/>
    <mergeCell ref="D18:D19"/>
    <mergeCell ref="E18:E19"/>
    <mergeCell ref="F18:F19"/>
    <mergeCell ref="B20:B21"/>
    <mergeCell ref="C20:C21"/>
    <mergeCell ref="D20:D21"/>
    <mergeCell ref="E20:E21"/>
    <mergeCell ref="F20:F21"/>
    <mergeCell ref="F16:F17"/>
    <mergeCell ref="A12:F12"/>
    <mergeCell ref="A14:A15"/>
    <mergeCell ref="B14:B15"/>
    <mergeCell ref="C14:C15"/>
    <mergeCell ref="D14:D15"/>
    <mergeCell ref="E14:E15"/>
    <mergeCell ref="F14:F15"/>
    <mergeCell ref="A16:A17"/>
    <mergeCell ref="B16:B17"/>
    <mergeCell ref="C16:C17"/>
    <mergeCell ref="D16:D17"/>
    <mergeCell ref="E16:E17"/>
    <mergeCell ref="A11:F11"/>
    <mergeCell ref="A1:F1"/>
    <mergeCell ref="A7:F7"/>
    <mergeCell ref="A8:F8"/>
    <mergeCell ref="A9:F9"/>
    <mergeCell ref="A10:F10"/>
  </mergeCells>
  <phoneticPr fontId="1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8"/>
  <sheetViews>
    <sheetView workbookViewId="0"/>
  </sheetViews>
  <sheetFormatPr defaultRowHeight="15" x14ac:dyDescent="0.25"/>
  <cols>
    <col min="1" max="1" width="24.140625" customWidth="1"/>
    <col min="2" max="2" width="15.85546875" bestFit="1" customWidth="1"/>
    <col min="3" max="3" width="10.85546875" bestFit="1" customWidth="1"/>
    <col min="4" max="4" width="15.85546875" bestFit="1" customWidth="1"/>
    <col min="5" max="5" width="6" customWidth="1"/>
  </cols>
  <sheetData>
    <row r="1" spans="1:3" ht="15.75" x14ac:dyDescent="0.25">
      <c r="A1" s="11" t="s">
        <v>110</v>
      </c>
    </row>
    <row r="3" spans="1:3" x14ac:dyDescent="0.25">
      <c r="A3" t="s">
        <v>226</v>
      </c>
    </row>
    <row r="5" spans="1:3" x14ac:dyDescent="0.25">
      <c r="B5" t="s">
        <v>310</v>
      </c>
      <c r="C5" t="s">
        <v>311</v>
      </c>
    </row>
    <row r="6" spans="1:3" x14ac:dyDescent="0.25">
      <c r="B6" s="40" t="s">
        <v>111</v>
      </c>
      <c r="C6">
        <v>25000</v>
      </c>
    </row>
    <row r="7" spans="1:3" x14ac:dyDescent="0.25">
      <c r="B7" s="40" t="s">
        <v>262</v>
      </c>
      <c r="C7">
        <v>18250</v>
      </c>
    </row>
    <row r="8" spans="1:3" x14ac:dyDescent="0.25">
      <c r="B8" s="40" t="s">
        <v>312</v>
      </c>
      <c r="C8">
        <v>20000</v>
      </c>
    </row>
  </sheetData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9"/>
  <sheetViews>
    <sheetView workbookViewId="0">
      <selection activeCell="A18" sqref="A18"/>
    </sheetView>
  </sheetViews>
  <sheetFormatPr defaultRowHeight="15" x14ac:dyDescent="0.25"/>
  <sheetData>
    <row r="1" spans="1:10" ht="15.75" x14ac:dyDescent="0.25">
      <c r="A1" s="11" t="s">
        <v>215</v>
      </c>
    </row>
    <row r="3" spans="1:10" x14ac:dyDescent="0.25">
      <c r="A3" t="s">
        <v>216</v>
      </c>
    </row>
    <row r="4" spans="1:10" x14ac:dyDescent="0.25">
      <c r="A4" t="s">
        <v>257</v>
      </c>
    </row>
    <row r="6" spans="1:10" x14ac:dyDescent="0.25">
      <c r="A6" t="s">
        <v>258</v>
      </c>
    </row>
    <row r="7" spans="1:10" x14ac:dyDescent="0.25">
      <c r="A7" t="s">
        <v>259</v>
      </c>
    </row>
    <row r="8" spans="1:10" x14ac:dyDescent="0.25">
      <c r="A8" t="s">
        <v>260</v>
      </c>
    </row>
    <row r="9" spans="1:10" x14ac:dyDescent="0.25">
      <c r="A9" t="s">
        <v>261</v>
      </c>
    </row>
    <row r="11" spans="1:10" x14ac:dyDescent="0.25">
      <c r="A11" s="158" t="s">
        <v>218</v>
      </c>
      <c r="B11" s="158"/>
      <c r="C11" s="158"/>
      <c r="D11" s="158"/>
      <c r="E11" s="158"/>
      <c r="F11" s="158"/>
      <c r="G11" s="158"/>
      <c r="H11" s="158"/>
      <c r="I11" s="41"/>
      <c r="J11" s="41"/>
    </row>
    <row r="12" spans="1:10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</row>
    <row r="13" spans="1:10" x14ac:dyDescent="0.25">
      <c r="A13" s="41"/>
      <c r="B13" s="41"/>
      <c r="C13" s="41"/>
      <c r="D13" s="36" t="s">
        <v>219</v>
      </c>
      <c r="E13" s="36" t="s">
        <v>220</v>
      </c>
      <c r="F13" s="36" t="s">
        <v>221</v>
      </c>
      <c r="G13" s="36" t="s">
        <v>222</v>
      </c>
      <c r="H13" s="36" t="s">
        <v>9</v>
      </c>
      <c r="I13" s="41"/>
      <c r="J13" s="41"/>
    </row>
    <row r="14" spans="1:10" x14ac:dyDescent="0.25">
      <c r="A14" s="41" t="s">
        <v>223</v>
      </c>
      <c r="B14" s="41"/>
      <c r="C14" s="41"/>
      <c r="D14" s="41"/>
      <c r="E14" s="41"/>
      <c r="F14" s="41"/>
      <c r="G14" s="41"/>
      <c r="H14" s="41">
        <v>500000</v>
      </c>
      <c r="I14" s="41"/>
      <c r="J14" s="41"/>
    </row>
    <row r="15" spans="1:10" x14ac:dyDescent="0.25">
      <c r="A15" s="43" t="s">
        <v>43</v>
      </c>
      <c r="B15" s="41"/>
      <c r="C15" s="41"/>
      <c r="D15" s="41">
        <v>20000</v>
      </c>
      <c r="E15" s="41"/>
      <c r="F15" s="41">
        <v>20000</v>
      </c>
      <c r="G15" s="41"/>
      <c r="H15" s="41">
        <v>40000</v>
      </c>
      <c r="I15" s="41"/>
      <c r="J15" s="41"/>
    </row>
    <row r="16" spans="1:10" x14ac:dyDescent="0.25">
      <c r="A16" s="41" t="s">
        <v>224</v>
      </c>
      <c r="B16" s="41"/>
      <c r="C16" s="41"/>
      <c r="D16" s="41"/>
      <c r="E16" s="41"/>
      <c r="F16" s="41"/>
      <c r="G16" s="41"/>
      <c r="H16" s="41">
        <v>460000</v>
      </c>
      <c r="I16" s="41"/>
      <c r="J16" s="41"/>
    </row>
    <row r="17" spans="1:10" x14ac:dyDescent="0.25">
      <c r="A17" s="41" t="s">
        <v>225</v>
      </c>
      <c r="B17" s="41"/>
      <c r="C17" s="41"/>
      <c r="D17" s="41">
        <v>92000</v>
      </c>
      <c r="E17" s="41">
        <v>184000</v>
      </c>
      <c r="F17" s="41">
        <v>92000</v>
      </c>
      <c r="G17" s="41">
        <v>92000</v>
      </c>
      <c r="H17" s="41">
        <v>460000</v>
      </c>
      <c r="I17" s="41"/>
      <c r="J17" s="41"/>
    </row>
    <row r="18" spans="1:10" x14ac:dyDescent="0.25">
      <c r="A18" s="41" t="s">
        <v>9</v>
      </c>
      <c r="B18" s="41"/>
      <c r="C18" s="41"/>
      <c r="D18" s="41">
        <f>SUM(D15:D17)</f>
        <v>112000</v>
      </c>
      <c r="E18" s="41">
        <f t="shared" ref="E18:G18" si="0">SUM(E15:E17)</f>
        <v>184000</v>
      </c>
      <c r="F18" s="41">
        <f t="shared" si="0"/>
        <v>112000</v>
      </c>
      <c r="G18" s="41">
        <f t="shared" si="0"/>
        <v>92000</v>
      </c>
      <c r="H18" s="41">
        <f>SUM(D18:G18)</f>
        <v>500000</v>
      </c>
      <c r="I18" s="41"/>
      <c r="J18" s="41"/>
    </row>
    <row r="19" spans="1:10" x14ac:dyDescent="0.25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</row>
    <row r="22" spans="1:10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</row>
    <row r="39" spans="1:1" x14ac:dyDescent="0.25">
      <c r="A39" t="s">
        <v>217</v>
      </c>
    </row>
  </sheetData>
  <mergeCells count="1">
    <mergeCell ref="A11:H11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15"/>
  <sheetViews>
    <sheetView workbookViewId="0">
      <selection activeCell="D21" sqref="D21"/>
    </sheetView>
  </sheetViews>
  <sheetFormatPr defaultRowHeight="15" x14ac:dyDescent="0.25"/>
  <cols>
    <col min="1" max="1" width="14" customWidth="1"/>
  </cols>
  <sheetData>
    <row r="1" spans="1:1" x14ac:dyDescent="0.25">
      <c r="A1" s="2" t="s">
        <v>16</v>
      </c>
    </row>
    <row r="2" spans="1:1" x14ac:dyDescent="0.25">
      <c r="A2" s="2"/>
    </row>
    <row r="3" spans="1:1" x14ac:dyDescent="0.25">
      <c r="A3" s="1" t="s">
        <v>18</v>
      </c>
    </row>
    <row r="5" spans="1:1" x14ac:dyDescent="0.25">
      <c r="A5" s="1"/>
    </row>
    <row r="7" spans="1:1" x14ac:dyDescent="0.25">
      <c r="A7" s="55">
        <v>235.5</v>
      </c>
    </row>
    <row r="8" spans="1:1" x14ac:dyDescent="0.25">
      <c r="A8" s="55">
        <v>6543899.784</v>
      </c>
    </row>
    <row r="9" spans="1:1" x14ac:dyDescent="0.25">
      <c r="A9" s="55">
        <v>8972.5643459999992</v>
      </c>
    </row>
    <row r="10" spans="1:1" x14ac:dyDescent="0.25">
      <c r="A10" s="55">
        <v>9987378.4000000004</v>
      </c>
    </row>
    <row r="11" spans="1:1" x14ac:dyDescent="0.25">
      <c r="A11" s="55">
        <v>546.33333300000004</v>
      </c>
    </row>
    <row r="15" spans="1:1" x14ac:dyDescent="0.25">
      <c r="A15" s="1" t="s">
        <v>17</v>
      </c>
    </row>
  </sheetData>
  <customSheetViews>
    <customSheetView guid="{28759D3D-4935-4F4F-B5FE-C8D459AA4B3D}">
      <selection activeCell="C4" sqref="C4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6"/>
  <sheetViews>
    <sheetView zoomScaleNormal="100" workbookViewId="0">
      <selection activeCell="E28" sqref="E28"/>
    </sheetView>
  </sheetViews>
  <sheetFormatPr defaultRowHeight="15" x14ac:dyDescent="0.25"/>
  <cols>
    <col min="1" max="1" width="12" customWidth="1"/>
  </cols>
  <sheetData>
    <row r="1" spans="1:1" x14ac:dyDescent="0.25">
      <c r="A1" s="1" t="s">
        <v>0</v>
      </c>
    </row>
    <row r="3" spans="1:1" x14ac:dyDescent="0.25">
      <c r="A3" s="56">
        <v>0.34200000000000003</v>
      </c>
    </row>
    <row r="4" spans="1:1" x14ac:dyDescent="0.25">
      <c r="A4" s="56">
        <v>0.38900000000000001</v>
      </c>
    </row>
    <row r="5" spans="1:1" x14ac:dyDescent="0.25">
      <c r="A5" s="56">
        <v>4.5666659999999998E-2</v>
      </c>
    </row>
    <row r="6" spans="1:1" x14ac:dyDescent="0.25">
      <c r="A6" s="56"/>
    </row>
  </sheetData>
  <customSheetViews>
    <customSheetView guid="{28759D3D-4935-4F4F-B5FE-C8D459AA4B3D}">
      <selection activeCell="A6" sqref="A6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6"/>
  <sheetViews>
    <sheetView zoomScaleNormal="100" workbookViewId="0">
      <selection activeCell="E31" sqref="E31"/>
    </sheetView>
  </sheetViews>
  <sheetFormatPr defaultRowHeight="15" x14ac:dyDescent="0.25"/>
  <cols>
    <col min="1" max="1" width="12" customWidth="1"/>
  </cols>
  <sheetData>
    <row r="1" spans="1:1" x14ac:dyDescent="0.25">
      <c r="A1" s="1" t="s">
        <v>74</v>
      </c>
    </row>
    <row r="2" spans="1:1" x14ac:dyDescent="0.25">
      <c r="A2" s="1" t="s">
        <v>76</v>
      </c>
    </row>
    <row r="3" spans="1:1" x14ac:dyDescent="0.25">
      <c r="A3" s="1" t="s">
        <v>75</v>
      </c>
    </row>
    <row r="4" spans="1:1" x14ac:dyDescent="0.25">
      <c r="A4" s="1" t="s">
        <v>77</v>
      </c>
    </row>
    <row r="5" spans="1:1" x14ac:dyDescent="0.25">
      <c r="A5" s="1"/>
    </row>
    <row r="6" spans="1:1" x14ac:dyDescent="0.25">
      <c r="A6" s="57">
        <v>-2235.54</v>
      </c>
    </row>
  </sheetData>
  <pageMargins left="0.7" right="0.7" top="0.75" bottom="0.75" header="0.3" footer="0.3"/>
  <pageSetup paperSize="9"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J15"/>
  <sheetViews>
    <sheetView showFormulas="1" zoomScaleNormal="100" workbookViewId="0"/>
  </sheetViews>
  <sheetFormatPr defaultRowHeight="15" x14ac:dyDescent="0.25"/>
  <cols>
    <col min="1" max="1" width="4.5703125" customWidth="1"/>
    <col min="2" max="8" width="6.42578125" customWidth="1"/>
    <col min="9" max="9" width="6.85546875" customWidth="1"/>
    <col min="10" max="10" width="7" customWidth="1"/>
  </cols>
  <sheetData>
    <row r="1" spans="1:10" x14ac:dyDescent="0.25">
      <c r="B1" t="s">
        <v>56</v>
      </c>
      <c r="C1" t="s">
        <v>57</v>
      </c>
      <c r="D1" t="s">
        <v>58</v>
      </c>
      <c r="E1" t="s">
        <v>59</v>
      </c>
      <c r="F1" t="s">
        <v>60</v>
      </c>
      <c r="G1" t="s">
        <v>61</v>
      </c>
      <c r="H1" t="s">
        <v>62</v>
      </c>
      <c r="I1" t="s">
        <v>9</v>
      </c>
      <c r="J1" t="s">
        <v>84</v>
      </c>
    </row>
    <row r="2" spans="1:10" x14ac:dyDescent="0.25">
      <c r="A2" t="s">
        <v>63</v>
      </c>
      <c r="B2">
        <v>12</v>
      </c>
      <c r="C2">
        <v>45</v>
      </c>
      <c r="D2">
        <v>35</v>
      </c>
      <c r="E2">
        <v>12</v>
      </c>
      <c r="F2">
        <v>24</v>
      </c>
      <c r="G2">
        <v>66</v>
      </c>
      <c r="H2">
        <v>54</v>
      </c>
      <c r="I2">
        <f>SUM(B2:H2)</f>
        <v>248</v>
      </c>
      <c r="J2">
        <f>I2-$D$13</f>
        <v>91</v>
      </c>
    </row>
    <row r="3" spans="1:10" x14ac:dyDescent="0.25">
      <c r="A3" t="s">
        <v>64</v>
      </c>
      <c r="B3">
        <v>32</v>
      </c>
      <c r="C3">
        <v>24</v>
      </c>
      <c r="D3">
        <v>78</v>
      </c>
      <c r="E3">
        <v>44</v>
      </c>
      <c r="F3">
        <v>21</v>
      </c>
      <c r="G3">
        <v>75</v>
      </c>
      <c r="H3">
        <v>44</v>
      </c>
      <c r="I3">
        <f t="shared" ref="I3:I5" si="0">SUM(B3:H3)</f>
        <v>318</v>
      </c>
      <c r="J3">
        <f t="shared" ref="J3:J5" si="1">I3-$D$13</f>
        <v>161</v>
      </c>
    </row>
    <row r="4" spans="1:10" x14ac:dyDescent="0.25">
      <c r="A4" t="s">
        <v>65</v>
      </c>
      <c r="B4">
        <v>123</v>
      </c>
      <c r="C4">
        <v>24</v>
      </c>
      <c r="D4">
        <v>45</v>
      </c>
      <c r="E4">
        <v>75</v>
      </c>
      <c r="F4">
        <v>45</v>
      </c>
      <c r="G4">
        <v>25</v>
      </c>
      <c r="H4">
        <v>21</v>
      </c>
      <c r="I4">
        <f t="shared" si="0"/>
        <v>358</v>
      </c>
      <c r="J4">
        <f t="shared" si="1"/>
        <v>201</v>
      </c>
    </row>
    <row r="5" spans="1:10" x14ac:dyDescent="0.25">
      <c r="A5" t="s">
        <v>66</v>
      </c>
      <c r="B5">
        <v>32</v>
      </c>
      <c r="C5">
        <v>14</v>
      </c>
      <c r="D5">
        <v>4</v>
      </c>
      <c r="E5">
        <v>21</v>
      </c>
      <c r="F5">
        <v>64</v>
      </c>
      <c r="G5">
        <v>41</v>
      </c>
      <c r="H5">
        <v>54</v>
      </c>
      <c r="I5">
        <f t="shared" si="0"/>
        <v>230</v>
      </c>
      <c r="J5">
        <f t="shared" si="1"/>
        <v>73</v>
      </c>
    </row>
    <row r="8" spans="1:10" ht="12" customHeight="1" x14ac:dyDescent="0.25"/>
    <row r="9" spans="1:10" ht="15" customHeight="1" x14ac:dyDescent="0.25">
      <c r="A9" s="129" t="s">
        <v>67</v>
      </c>
      <c r="B9" s="129"/>
      <c r="C9" s="129"/>
      <c r="D9" s="38"/>
      <c r="E9" s="38"/>
    </row>
    <row r="11" spans="1:10" x14ac:dyDescent="0.25">
      <c r="A11" s="129" t="s">
        <v>85</v>
      </c>
      <c r="B11" s="129"/>
      <c r="C11" s="129"/>
      <c r="D11" s="129"/>
      <c r="E11" s="129"/>
      <c r="F11" s="129"/>
      <c r="G11" s="129"/>
      <c r="H11" s="129"/>
      <c r="I11" s="129"/>
      <c r="J11" s="129"/>
    </row>
    <row r="12" spans="1:10" x14ac:dyDescent="0.25">
      <c r="A12" s="1"/>
    </row>
    <row r="13" spans="1:10" x14ac:dyDescent="0.25">
      <c r="A13" s="124" t="s">
        <v>83</v>
      </c>
      <c r="B13" s="124"/>
      <c r="D13">
        <v>157</v>
      </c>
    </row>
    <row r="15" spans="1:10" x14ac:dyDescent="0.25">
      <c r="A15" s="129" t="s">
        <v>86</v>
      </c>
      <c r="B15" s="129"/>
      <c r="C15" s="129"/>
      <c r="D15" s="129"/>
      <c r="E15" s="129"/>
      <c r="F15" s="129"/>
      <c r="G15" s="129"/>
      <c r="H15" s="38"/>
      <c r="I15" s="38"/>
      <c r="J15" s="38"/>
    </row>
  </sheetData>
  <sortState xmlns:xlrd2="http://schemas.microsoft.com/office/spreadsheetml/2017/richdata2" ref="A9">
    <sortCondition sortBy="cellColor" ref="A9"/>
  </sortState>
  <mergeCells count="4">
    <mergeCell ref="A9:C9"/>
    <mergeCell ref="A11:J11"/>
    <mergeCell ref="A13:B13"/>
    <mergeCell ref="A15:G15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5"/>
  <sheetViews>
    <sheetView zoomScaleNormal="100" workbookViewId="0">
      <selection activeCell="D21" sqref="D21"/>
    </sheetView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82</v>
      </c>
    </row>
    <row r="3" spans="1:1" x14ac:dyDescent="0.25">
      <c r="A3" t="s">
        <v>80</v>
      </c>
    </row>
    <row r="4" spans="1:1" x14ac:dyDescent="0.25">
      <c r="A4" t="s">
        <v>79</v>
      </c>
    </row>
    <row r="5" spans="1:1" x14ac:dyDescent="0.25">
      <c r="A5" t="s">
        <v>81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&amp;C&amp;A</oddHeader>
    <oddFooter>&amp;L&amp;P&amp;N&amp;C&amp;F&amp;R&amp;D&amp;T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C5"/>
  <sheetViews>
    <sheetView workbookViewId="0">
      <selection activeCell="F29" sqref="F29"/>
    </sheetView>
  </sheetViews>
  <sheetFormatPr defaultRowHeight="15" x14ac:dyDescent="0.25"/>
  <cols>
    <col min="1" max="1" width="6.140625" customWidth="1"/>
    <col min="2" max="2" width="10.5703125" bestFit="1" customWidth="1"/>
    <col min="3" max="3" width="15.5703125" bestFit="1" customWidth="1"/>
    <col min="4" max="5" width="7.5703125" customWidth="1"/>
    <col min="6" max="8" width="8" customWidth="1"/>
    <col min="11" max="11" width="14.42578125" bestFit="1" customWidth="1"/>
    <col min="12" max="12" width="5" bestFit="1" customWidth="1"/>
  </cols>
  <sheetData>
    <row r="1" spans="1:3" ht="15.75" x14ac:dyDescent="0.25">
      <c r="A1" s="11" t="s">
        <v>123</v>
      </c>
    </row>
    <row r="3" spans="1:3" x14ac:dyDescent="0.25">
      <c r="A3" t="s">
        <v>210</v>
      </c>
    </row>
    <row r="5" spans="1:3" x14ac:dyDescent="0.25">
      <c r="B5" s="3"/>
      <c r="C5" s="29">
        <f ca="1">NOW()</f>
        <v>44609.652974537035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13"/>
  <sheetViews>
    <sheetView workbookViewId="0">
      <selection activeCell="G25" sqref="G25"/>
    </sheetView>
  </sheetViews>
  <sheetFormatPr defaultRowHeight="15" x14ac:dyDescent="0.25"/>
  <cols>
    <col min="1" max="1" width="12" customWidth="1"/>
  </cols>
  <sheetData>
    <row r="1" spans="1:2" ht="15.75" x14ac:dyDescent="0.25">
      <c r="A1" s="11" t="s">
        <v>211</v>
      </c>
    </row>
    <row r="3" spans="1:2" x14ac:dyDescent="0.25">
      <c r="A3" t="s">
        <v>212</v>
      </c>
    </row>
    <row r="5" spans="1:2" x14ac:dyDescent="0.25">
      <c r="A5">
        <v>3.4649999999999999</v>
      </c>
      <c r="B5">
        <f>ROUND(A5,2)</f>
        <v>3.47</v>
      </c>
    </row>
    <row r="7" spans="1:2" x14ac:dyDescent="0.25">
      <c r="A7" t="s">
        <v>213</v>
      </c>
    </row>
    <row r="9" spans="1:2" x14ac:dyDescent="0.25">
      <c r="A9">
        <v>2.73</v>
      </c>
      <c r="B9">
        <f>ROUNDUP(A9,1)</f>
        <v>2.8000000000000003</v>
      </c>
    </row>
    <row r="11" spans="1:2" x14ac:dyDescent="0.25">
      <c r="A11" t="s">
        <v>214</v>
      </c>
    </row>
    <row r="13" spans="1:2" x14ac:dyDescent="0.25">
      <c r="A13">
        <v>9.7200000000000006</v>
      </c>
      <c r="B13">
        <f>ROUNDDOWN(A13,0)</f>
        <v>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2"/>
  <dimension ref="A1:E21"/>
  <sheetViews>
    <sheetView topLeftCell="A5" workbookViewId="0">
      <selection activeCell="G27" sqref="G27"/>
    </sheetView>
  </sheetViews>
  <sheetFormatPr defaultRowHeight="15" x14ac:dyDescent="0.25"/>
  <cols>
    <col min="1" max="1" width="5.85546875" customWidth="1"/>
    <col min="2" max="2" width="14.5703125" customWidth="1"/>
  </cols>
  <sheetData>
    <row r="1" spans="1:5" x14ac:dyDescent="0.25">
      <c r="A1" s="9" t="s">
        <v>109</v>
      </c>
    </row>
    <row r="2" spans="1:5" x14ac:dyDescent="0.25">
      <c r="A2" s="10">
        <v>1</v>
      </c>
      <c r="B2" s="1" t="s">
        <v>237</v>
      </c>
    </row>
    <row r="3" spans="1:5" x14ac:dyDescent="0.25">
      <c r="A3" s="10"/>
      <c r="B3" s="1"/>
    </row>
    <row r="4" spans="1:5" x14ac:dyDescent="0.25">
      <c r="A4" s="10"/>
      <c r="C4" s="130" t="s">
        <v>107</v>
      </c>
      <c r="D4" s="130"/>
      <c r="E4" s="130"/>
    </row>
    <row r="5" spans="1:5" x14ac:dyDescent="0.25">
      <c r="A5" s="10"/>
      <c r="C5" s="10" t="s">
        <v>98</v>
      </c>
      <c r="D5" s="10" t="s">
        <v>99</v>
      </c>
      <c r="E5" s="10" t="s">
        <v>106</v>
      </c>
    </row>
    <row r="6" spans="1:5" x14ac:dyDescent="0.25">
      <c r="A6" s="10"/>
      <c r="B6" t="s">
        <v>10</v>
      </c>
      <c r="C6">
        <v>52</v>
      </c>
      <c r="D6">
        <v>48</v>
      </c>
      <c r="E6">
        <v>56</v>
      </c>
    </row>
    <row r="7" spans="1:5" x14ac:dyDescent="0.25">
      <c r="A7" s="10"/>
      <c r="B7" t="s">
        <v>11</v>
      </c>
      <c r="C7">
        <v>31</v>
      </c>
      <c r="D7">
        <v>37</v>
      </c>
      <c r="E7">
        <v>39</v>
      </c>
    </row>
    <row r="8" spans="1:5" x14ac:dyDescent="0.25">
      <c r="A8" s="10"/>
      <c r="B8" t="s">
        <v>12</v>
      </c>
      <c r="C8">
        <v>23</v>
      </c>
      <c r="D8">
        <v>39</v>
      </c>
      <c r="E8">
        <v>54</v>
      </c>
    </row>
    <row r="9" spans="1:5" x14ac:dyDescent="0.25">
      <c r="A9" s="10"/>
      <c r="B9" t="s">
        <v>13</v>
      </c>
      <c r="C9">
        <v>14</v>
      </c>
      <c r="D9">
        <v>24</v>
      </c>
      <c r="E9">
        <v>28</v>
      </c>
    </row>
    <row r="10" spans="1:5" x14ac:dyDescent="0.25">
      <c r="A10" s="10"/>
      <c r="B10" t="s">
        <v>14</v>
      </c>
      <c r="C10">
        <v>84</v>
      </c>
      <c r="D10">
        <v>92</v>
      </c>
      <c r="E10">
        <v>80</v>
      </c>
    </row>
    <row r="11" spans="1:5" x14ac:dyDescent="0.25">
      <c r="A11" s="10"/>
    </row>
    <row r="12" spans="1:5" x14ac:dyDescent="0.25">
      <c r="A12" s="10"/>
      <c r="B12" s="1" t="s">
        <v>108</v>
      </c>
    </row>
    <row r="13" spans="1:5" x14ac:dyDescent="0.25">
      <c r="A13" s="10">
        <v>2</v>
      </c>
      <c r="B13" s="41" t="s">
        <v>236</v>
      </c>
    </row>
    <row r="14" spans="1:5" x14ac:dyDescent="0.25">
      <c r="A14" s="10">
        <v>3</v>
      </c>
      <c r="B14" s="41" t="s">
        <v>238</v>
      </c>
    </row>
    <row r="15" spans="1:5" x14ac:dyDescent="0.25">
      <c r="A15" s="10">
        <v>4</v>
      </c>
      <c r="B15" s="41" t="s">
        <v>239</v>
      </c>
    </row>
    <row r="16" spans="1:5" x14ac:dyDescent="0.25">
      <c r="A16" s="10">
        <v>5</v>
      </c>
      <c r="B16" s="41" t="s">
        <v>240</v>
      </c>
    </row>
    <row r="17" spans="1:2" x14ac:dyDescent="0.25">
      <c r="A17" s="10">
        <v>6</v>
      </c>
      <c r="B17" s="41" t="s">
        <v>241</v>
      </c>
    </row>
    <row r="18" spans="1:2" x14ac:dyDescent="0.25">
      <c r="A18" s="10">
        <v>7</v>
      </c>
      <c r="B18" s="41" t="s">
        <v>242</v>
      </c>
    </row>
    <row r="19" spans="1:2" x14ac:dyDescent="0.25">
      <c r="A19" s="10"/>
    </row>
    <row r="20" spans="1:2" x14ac:dyDescent="0.25">
      <c r="A20" s="10"/>
      <c r="B20" t="s">
        <v>335</v>
      </c>
    </row>
    <row r="21" spans="1:2" x14ac:dyDescent="0.25">
      <c r="A21" s="10"/>
    </row>
  </sheetData>
  <customSheetViews>
    <customSheetView guid="{28759D3D-4935-4F4F-B5FE-C8D459AA4B3D}">
      <selection activeCell="C5" sqref="C5"/>
      <pageMargins left="0.7" right="0.7" top="0.75" bottom="0.75" header="0.3" footer="0.3"/>
      <pageSetup orientation="portrait" verticalDpi="0" r:id="rId1"/>
    </customSheetView>
  </customSheetViews>
  <mergeCells count="1">
    <mergeCell ref="C4:E4"/>
  </mergeCells>
  <pageMargins left="0.7" right="0.7" top="0.75" bottom="0.75" header="0.3" footer="0.3"/>
  <pageSetup paperSize="9" orientation="portrait" verticalDpi="4294967293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3"/>
  <dimension ref="A1:N86"/>
  <sheetViews>
    <sheetView topLeftCell="A21" workbookViewId="0">
      <selection activeCell="O1" sqref="O1"/>
    </sheetView>
  </sheetViews>
  <sheetFormatPr defaultRowHeight="15" x14ac:dyDescent="0.25"/>
  <cols>
    <col min="2" max="2" width="14.42578125" bestFit="1" customWidth="1"/>
    <col min="3" max="10" width="8.5703125" bestFit="1" customWidth="1"/>
    <col min="11" max="11" width="9.5703125" bestFit="1" customWidth="1"/>
    <col min="12" max="12" width="8.5703125" bestFit="1" customWidth="1"/>
    <col min="13" max="13" width="9.5703125" bestFit="1" customWidth="1"/>
    <col min="14" max="14" width="9.42578125" bestFit="1" customWidth="1"/>
    <col min="15" max="15" width="10.5703125" bestFit="1" customWidth="1"/>
    <col min="16" max="17" width="10.42578125" bestFit="1" customWidth="1"/>
    <col min="18" max="18" width="10.5703125" bestFit="1" customWidth="1"/>
  </cols>
  <sheetData>
    <row r="1" spans="1:14" ht="15.75" x14ac:dyDescent="0.25">
      <c r="A1" s="11" t="s">
        <v>243</v>
      </c>
    </row>
    <row r="3" spans="1:14" x14ac:dyDescent="0.25">
      <c r="A3" t="s">
        <v>197</v>
      </c>
    </row>
    <row r="4" spans="1:14" x14ac:dyDescent="0.25">
      <c r="A4" t="s">
        <v>198</v>
      </c>
    </row>
    <row r="5" spans="1:14" x14ac:dyDescent="0.25">
      <c r="A5" t="s">
        <v>336</v>
      </c>
    </row>
    <row r="6" spans="1:14" x14ac:dyDescent="0.25">
      <c r="A6" t="s">
        <v>199</v>
      </c>
    </row>
    <row r="7" spans="1:14" x14ac:dyDescent="0.25">
      <c r="A7" t="s">
        <v>200</v>
      </c>
    </row>
    <row r="8" spans="1:14" x14ac:dyDescent="0.25">
      <c r="C8" s="35"/>
    </row>
    <row r="9" spans="1:14" x14ac:dyDescent="0.25">
      <c r="B9" t="s">
        <v>89</v>
      </c>
      <c r="C9" t="s">
        <v>170</v>
      </c>
      <c r="D9" t="s">
        <v>172</v>
      </c>
      <c r="E9" t="s">
        <v>171</v>
      </c>
      <c r="F9" t="s">
        <v>169</v>
      </c>
      <c r="G9" t="s">
        <v>138</v>
      </c>
      <c r="H9" t="s">
        <v>174</v>
      </c>
      <c r="I9" t="s">
        <v>173</v>
      </c>
      <c r="J9" t="s">
        <v>179</v>
      </c>
      <c r="K9" t="s">
        <v>178</v>
      </c>
      <c r="L9" t="s">
        <v>175</v>
      </c>
      <c r="M9" t="s">
        <v>177</v>
      </c>
      <c r="N9" t="s">
        <v>176</v>
      </c>
    </row>
    <row r="10" spans="1:14" x14ac:dyDescent="0.25">
      <c r="B10" t="s">
        <v>182</v>
      </c>
      <c r="C10" s="35">
        <v>30770</v>
      </c>
      <c r="D10" s="35">
        <v>16463</v>
      </c>
      <c r="E10" s="35">
        <v>29062</v>
      </c>
      <c r="F10" s="35">
        <v>14234</v>
      </c>
      <c r="G10" s="35">
        <v>11678</v>
      </c>
      <c r="H10" s="35">
        <v>15360</v>
      </c>
      <c r="I10" s="35">
        <v>18708</v>
      </c>
      <c r="J10" s="35">
        <v>24360</v>
      </c>
      <c r="K10" s="35">
        <v>24291</v>
      </c>
      <c r="L10" s="35">
        <v>17997</v>
      </c>
      <c r="M10" s="35">
        <v>27909</v>
      </c>
      <c r="N10" s="35">
        <v>48256</v>
      </c>
    </row>
    <row r="11" spans="1:14" x14ac:dyDescent="0.25">
      <c r="B11" t="s">
        <v>145</v>
      </c>
      <c r="C11" s="35">
        <v>22582</v>
      </c>
      <c r="D11" s="35">
        <v>18978</v>
      </c>
      <c r="E11" s="35">
        <v>26448</v>
      </c>
      <c r="F11" s="35">
        <v>22158</v>
      </c>
      <c r="G11" s="35">
        <v>24569</v>
      </c>
      <c r="H11" s="35">
        <v>23360</v>
      </c>
      <c r="I11" s="35">
        <v>40134</v>
      </c>
      <c r="J11" s="35">
        <v>46541</v>
      </c>
      <c r="K11" s="35">
        <v>49077</v>
      </c>
      <c r="L11" s="35">
        <v>44245</v>
      </c>
      <c r="M11" s="35">
        <v>29080</v>
      </c>
      <c r="N11" s="35">
        <v>21889</v>
      </c>
    </row>
    <row r="12" spans="1:14" x14ac:dyDescent="0.25">
      <c r="B12" t="s">
        <v>183</v>
      </c>
      <c r="C12" s="35">
        <v>31333</v>
      </c>
      <c r="D12" s="35">
        <v>33975</v>
      </c>
      <c r="E12" s="35">
        <v>43098</v>
      </c>
      <c r="F12" s="35">
        <v>10189</v>
      </c>
      <c r="G12" s="35">
        <v>23302</v>
      </c>
      <c r="H12" s="35">
        <v>31829</v>
      </c>
      <c r="I12" s="35">
        <v>24374</v>
      </c>
      <c r="J12" s="35">
        <v>12962</v>
      </c>
      <c r="K12" s="35">
        <v>44678</v>
      </c>
      <c r="L12" s="35">
        <v>33329</v>
      </c>
      <c r="M12" s="35">
        <v>44923</v>
      </c>
      <c r="N12" s="35">
        <v>38617</v>
      </c>
    </row>
    <row r="13" spans="1:14" x14ac:dyDescent="0.25">
      <c r="C13" s="35"/>
    </row>
    <row r="14" spans="1:14" x14ac:dyDescent="0.25">
      <c r="C14" s="35"/>
    </row>
    <row r="15" spans="1:14" x14ac:dyDescent="0.25">
      <c r="C15" s="35"/>
    </row>
    <row r="16" spans="1:14" x14ac:dyDescent="0.25">
      <c r="C16" s="35"/>
    </row>
    <row r="17" spans="3:3" x14ac:dyDescent="0.25">
      <c r="C17" s="35"/>
    </row>
    <row r="18" spans="3:3" x14ac:dyDescent="0.25">
      <c r="C18" s="35"/>
    </row>
    <row r="19" spans="3:3" x14ac:dyDescent="0.25">
      <c r="C19" s="35"/>
    </row>
    <row r="20" spans="3:3" x14ac:dyDescent="0.25">
      <c r="C20" s="35"/>
    </row>
    <row r="21" spans="3:3" x14ac:dyDescent="0.25">
      <c r="C21" s="35"/>
    </row>
    <row r="22" spans="3:3" x14ac:dyDescent="0.25">
      <c r="C22" s="35"/>
    </row>
    <row r="23" spans="3:3" x14ac:dyDescent="0.25">
      <c r="C23" s="35"/>
    </row>
    <row r="24" spans="3:3" x14ac:dyDescent="0.25">
      <c r="C24" s="35"/>
    </row>
    <row r="25" spans="3:3" x14ac:dyDescent="0.25">
      <c r="C25" s="35"/>
    </row>
    <row r="26" spans="3:3" x14ac:dyDescent="0.25">
      <c r="C26" s="35"/>
    </row>
    <row r="27" spans="3:3" x14ac:dyDescent="0.25">
      <c r="C27" s="35"/>
    </row>
    <row r="28" spans="3:3" x14ac:dyDescent="0.25">
      <c r="C28" s="35"/>
    </row>
    <row r="29" spans="3:3" x14ac:dyDescent="0.25">
      <c r="C29" s="35"/>
    </row>
    <row r="30" spans="3:3" x14ac:dyDescent="0.25">
      <c r="C30" s="35"/>
    </row>
    <row r="31" spans="3:3" x14ac:dyDescent="0.25">
      <c r="C31" s="35"/>
    </row>
    <row r="32" spans="3:3" x14ac:dyDescent="0.25">
      <c r="C32" s="35"/>
    </row>
    <row r="33" spans="3:3" x14ac:dyDescent="0.25">
      <c r="C33" s="35"/>
    </row>
    <row r="34" spans="3:3" x14ac:dyDescent="0.25">
      <c r="C34" s="35"/>
    </row>
    <row r="35" spans="3:3" x14ac:dyDescent="0.25">
      <c r="C35" s="35"/>
    </row>
    <row r="36" spans="3:3" x14ac:dyDescent="0.25">
      <c r="C36" s="35"/>
    </row>
    <row r="37" spans="3:3" x14ac:dyDescent="0.25">
      <c r="C37" s="35"/>
    </row>
    <row r="38" spans="3:3" x14ac:dyDescent="0.25">
      <c r="C38" s="35"/>
    </row>
    <row r="39" spans="3:3" x14ac:dyDescent="0.25">
      <c r="C39" s="35"/>
    </row>
    <row r="40" spans="3:3" x14ac:dyDescent="0.25">
      <c r="C40" s="35"/>
    </row>
    <row r="41" spans="3:3" x14ac:dyDescent="0.25">
      <c r="C41" s="35"/>
    </row>
    <row r="42" spans="3:3" x14ac:dyDescent="0.25">
      <c r="C42" s="35"/>
    </row>
    <row r="43" spans="3:3" x14ac:dyDescent="0.25">
      <c r="C43" s="35"/>
    </row>
    <row r="44" spans="3:3" x14ac:dyDescent="0.25">
      <c r="C44" s="35"/>
    </row>
    <row r="45" spans="3:3" x14ac:dyDescent="0.25">
      <c r="C45" s="35"/>
    </row>
    <row r="46" spans="3:3" x14ac:dyDescent="0.25">
      <c r="C46" s="35"/>
    </row>
    <row r="47" spans="3:3" x14ac:dyDescent="0.25">
      <c r="C47" s="35"/>
    </row>
    <row r="48" spans="3:3" x14ac:dyDescent="0.25">
      <c r="C48" s="35"/>
    </row>
    <row r="49" spans="3:3" x14ac:dyDescent="0.25">
      <c r="C49" s="35"/>
    </row>
    <row r="50" spans="3:3" x14ac:dyDescent="0.25">
      <c r="C50" s="35"/>
    </row>
    <row r="51" spans="3:3" x14ac:dyDescent="0.25">
      <c r="C51" s="35"/>
    </row>
    <row r="52" spans="3:3" x14ac:dyDescent="0.25">
      <c r="C52" s="35"/>
    </row>
    <row r="53" spans="3:3" x14ac:dyDescent="0.25">
      <c r="C53" s="35"/>
    </row>
    <row r="54" spans="3:3" x14ac:dyDescent="0.25">
      <c r="C54" s="35"/>
    </row>
    <row r="55" spans="3:3" x14ac:dyDescent="0.25">
      <c r="C55" s="35"/>
    </row>
    <row r="56" spans="3:3" x14ac:dyDescent="0.25">
      <c r="C56" s="35"/>
    </row>
    <row r="57" spans="3:3" x14ac:dyDescent="0.25">
      <c r="C57" s="35"/>
    </row>
    <row r="58" spans="3:3" x14ac:dyDescent="0.25">
      <c r="C58" s="35"/>
    </row>
    <row r="59" spans="3:3" x14ac:dyDescent="0.25">
      <c r="C59" s="35"/>
    </row>
    <row r="60" spans="3:3" x14ac:dyDescent="0.25">
      <c r="C60" s="35"/>
    </row>
    <row r="61" spans="3:3" x14ac:dyDescent="0.25">
      <c r="C61" s="35"/>
    </row>
    <row r="62" spans="3:3" x14ac:dyDescent="0.25">
      <c r="C62" s="35"/>
    </row>
    <row r="63" spans="3:3" x14ac:dyDescent="0.25">
      <c r="C63" s="35"/>
    </row>
    <row r="64" spans="3:3" x14ac:dyDescent="0.25">
      <c r="C64" s="35"/>
    </row>
    <row r="65" spans="3:3" x14ac:dyDescent="0.25">
      <c r="C65" s="35"/>
    </row>
    <row r="66" spans="3:3" x14ac:dyDescent="0.25">
      <c r="C66" s="35"/>
    </row>
    <row r="67" spans="3:3" x14ac:dyDescent="0.25">
      <c r="C67" s="35"/>
    </row>
    <row r="68" spans="3:3" x14ac:dyDescent="0.25">
      <c r="C68" s="35"/>
    </row>
    <row r="69" spans="3:3" x14ac:dyDescent="0.25">
      <c r="C69" s="35"/>
    </row>
    <row r="70" spans="3:3" x14ac:dyDescent="0.25">
      <c r="C70" s="35"/>
    </row>
    <row r="71" spans="3:3" x14ac:dyDescent="0.25">
      <c r="C71" s="35"/>
    </row>
    <row r="72" spans="3:3" x14ac:dyDescent="0.25">
      <c r="C72" s="35"/>
    </row>
    <row r="73" spans="3:3" x14ac:dyDescent="0.25">
      <c r="C73" s="35"/>
    </row>
    <row r="74" spans="3:3" x14ac:dyDescent="0.25">
      <c r="C74" s="35"/>
    </row>
    <row r="75" spans="3:3" x14ac:dyDescent="0.25">
      <c r="C75" s="35"/>
    </row>
    <row r="76" spans="3:3" x14ac:dyDescent="0.25">
      <c r="C76" s="35"/>
    </row>
    <row r="77" spans="3:3" x14ac:dyDescent="0.25">
      <c r="C77" s="35"/>
    </row>
    <row r="78" spans="3:3" x14ac:dyDescent="0.25">
      <c r="C78" s="35"/>
    </row>
    <row r="79" spans="3:3" x14ac:dyDescent="0.25">
      <c r="C79" s="35"/>
    </row>
    <row r="80" spans="3:3" x14ac:dyDescent="0.25">
      <c r="C80" s="35"/>
    </row>
    <row r="81" spans="3:3" x14ac:dyDescent="0.25">
      <c r="C81" s="35"/>
    </row>
    <row r="82" spans="3:3" x14ac:dyDescent="0.25">
      <c r="C82" s="35"/>
    </row>
    <row r="83" spans="3:3" x14ac:dyDescent="0.25">
      <c r="C83" s="35"/>
    </row>
    <row r="84" spans="3:3" x14ac:dyDescent="0.25">
      <c r="C84" s="35"/>
    </row>
    <row r="85" spans="3:3" x14ac:dyDescent="0.25">
      <c r="C85" s="35"/>
    </row>
    <row r="86" spans="3:3" x14ac:dyDescent="0.25">
      <c r="C86" s="3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C11"/>
  <sheetViews>
    <sheetView workbookViewId="0">
      <selection activeCell="I6" sqref="I6:I7"/>
    </sheetView>
  </sheetViews>
  <sheetFormatPr defaultRowHeight="15" x14ac:dyDescent="0.25"/>
  <cols>
    <col min="1" max="1" width="16.5703125" bestFit="1" customWidth="1"/>
    <col min="2" max="2" width="7" bestFit="1" customWidth="1"/>
  </cols>
  <sheetData>
    <row r="1" spans="1:3" ht="15.75" x14ac:dyDescent="0.25">
      <c r="A1" s="11" t="s">
        <v>186</v>
      </c>
    </row>
    <row r="3" spans="1:3" x14ac:dyDescent="0.25">
      <c r="A3" t="s">
        <v>418</v>
      </c>
    </row>
    <row r="5" spans="1:3" x14ac:dyDescent="0.25">
      <c r="B5" s="1" t="s">
        <v>187</v>
      </c>
      <c r="C5" s="1" t="s">
        <v>188</v>
      </c>
    </row>
    <row r="6" spans="1:3" x14ac:dyDescent="0.25">
      <c r="A6" t="s">
        <v>111</v>
      </c>
      <c r="B6">
        <v>100000</v>
      </c>
      <c r="C6" s="32">
        <f>'Ch15(10) Links(2)'!B4</f>
        <v>98000</v>
      </c>
    </row>
    <row r="7" spans="1:3" x14ac:dyDescent="0.25">
      <c r="A7" t="s">
        <v>189</v>
      </c>
      <c r="B7">
        <v>-20000</v>
      </c>
      <c r="C7" s="32">
        <f>'Ch15(10) Links(2)'!B5</f>
        <v>-21000</v>
      </c>
    </row>
    <row r="8" spans="1:3" x14ac:dyDescent="0.25">
      <c r="A8" t="s">
        <v>190</v>
      </c>
      <c r="B8">
        <v>-30000</v>
      </c>
      <c r="C8" s="32">
        <f>'Ch15(10) Links(2)'!B6</f>
        <v>-27000</v>
      </c>
    </row>
    <row r="9" spans="1:3" x14ac:dyDescent="0.25">
      <c r="A9" t="s">
        <v>191</v>
      </c>
      <c r="B9">
        <v>-15000</v>
      </c>
      <c r="C9" s="32">
        <f>'Ch15(10) Links(2)'!B7</f>
        <v>-14500</v>
      </c>
    </row>
    <row r="10" spans="1:3" x14ac:dyDescent="0.25">
      <c r="A10" t="s">
        <v>192</v>
      </c>
      <c r="B10">
        <v>-10000</v>
      </c>
      <c r="C10" s="32">
        <f>'Ch15(10) Links(2)'!B8</f>
        <v>-9000</v>
      </c>
    </row>
    <row r="11" spans="1:3" x14ac:dyDescent="0.25">
      <c r="A11" t="s">
        <v>84</v>
      </c>
      <c r="B11">
        <f>SUM(B6:B10)</f>
        <v>25000</v>
      </c>
      <c r="C11" s="32">
        <f>'Ch15(10) Links(2)'!B9</f>
        <v>26500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8F360B8B94B24C80625B750664A7C7" ma:contentTypeVersion="16" ma:contentTypeDescription="Create a new document." ma:contentTypeScope="" ma:versionID="a45f1ede8d33ad2f7475f84c56b5488b">
  <xsd:schema xmlns:xsd="http://www.w3.org/2001/XMLSchema" xmlns:xs="http://www.w3.org/2001/XMLSchema" xmlns:p="http://schemas.microsoft.com/office/2006/metadata/properties" xmlns:ns2="cc4b72c6-61fa-4ee3-84ce-ab0320e33cf3" xmlns:ns3="e2297e95-685e-48b7-974b-773aa14fadb3" targetNamespace="http://schemas.microsoft.com/office/2006/metadata/properties" ma:root="true" ma:fieldsID="dcb1a74646da7e726b327ca88bb4cdc2" ns2:_="" ns3:_="">
    <xsd:import namespace="cc4b72c6-61fa-4ee3-84ce-ab0320e33cf3"/>
    <xsd:import namespace="e2297e95-685e-48b7-974b-773aa14fad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b72c6-61fa-4ee3-84ce-ab0320e33c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eb41300-6b2c-4ca9-9d57-0efc90da02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297e95-685e-48b7-974b-773aa14fadb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077b4a-7d63-418f-8806-1bf6248dd23a}" ma:internalName="TaxCatchAll" ma:showField="CatchAllData" ma:web="e2297e95-685e-48b7-974b-773aa14fad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4b72c6-61fa-4ee3-84ce-ab0320e33cf3">
      <Terms xmlns="http://schemas.microsoft.com/office/infopath/2007/PartnerControls"/>
    </lcf76f155ced4ddcb4097134ff3c332f>
    <TaxCatchAll xmlns="e2297e95-685e-48b7-974b-773aa14fadb3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8 E A A B Q S w M E F A A C A A g A M n 2 Z T l B x I k O p A A A A + A A A A B I A H A B D b 2 5 m a W c v U G F j a 2 F n Z S 5 4 b W w g o h g A K K A U A A A A A A A A A A A A A A A A A A A A A A A A A A A A h Y / R C o I w G I V f R X b v N p d Z y O + E u u g m I Q i i 2 z G X j n S G m + m 7 d d E j 9 Q o J Z X X X 5 T l 8 B 7 7 z u N 0 h H e r K u 6 r W 6 s Y k K M A U e c r I J t e m S F D n T v 4 S p R x 2 Q p 5 F o b w R N j Y e r E 5 Q 6 d w l J q T v e 9 z P c N M W h F E a k G O 2 3 c t S 1 c L X x j p h p E K f V f 5 / h T g c X j K c 4 W i B 5 y E N M Y s C I F M N m T Z f h I 3 G m A L 5 K W H d V a 5 r F V f G 3 6 y A T B H I + w V / A l B L A w Q U A A I A C A A y f Z l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n 2 Z T q W b w e E U A Q A A H g Q A A B M A H A B G b 3 J t d W x h c y 9 T Z W N 0 a W 9 u M S 5 t I K I Y A C i g F A A A A A A A A A A A A A A A A A A A A A A A A A A A A O 2 Q T W u E M B C G z x X 8 D y F 7 U Q g B 7 c e h x Z O 2 s J d C 0 Z 7 q U l K d r q E x k W Q s K 4 v / v V m k 1 E N v p b e d S 2 b e S f L O P A 4 a l E a T c j m T u z A I A 9 c J C y 0 p B I r X b T 8 Y i y Q j C j A M i I / S j L Y B r + T u k x e m G X v Q G D 1 I B T w 3 G n 3 h I p r f 1 s 8 O r K u F k t x O L d i 6 A P e B Z q j L w Y J o X Q e A j o x D K x D q l R X H A 9 K Y v R S g Z C 8 R b E Y v K C O 5 U W O v X Z Y y c q 8 b 0 0 q 9 z 5 L 0 2 p d P o 0 E o c V K Q / a T 8 0 W j Y x W w Z e U P z T u i 9 3 6 m a B q B + 9 k q 8 + U u V F d q 9 G 9 s v v 5 + a L l r 2 Y 8 c j X d T E u 6 P v E I Q D z o x 8 6 6 n X t x p v r v j p 3 T z H Y S D 1 r 3 5 r q B u 6 x h q l M T 2 z / S e 2 l 2 e 2 f 2 T 7 B V B L A Q I t A B Q A A g A I A D J 9 m U 5 Q c S J D q Q A A A P g A A A A S A A A A A A A A A A A A A A A A A A A A A A B D b 2 5 m a W c v U G F j a 2 F n Z S 5 4 b W x Q S w E C L Q A U A A I A C A A y f Z l O D 8 r p q 6 Q A A A D p A A A A E w A A A A A A A A A A A A A A A A D 1 A A A A W 0 N v b n R l b n R f V H l w Z X N d L n h t b F B L A Q I t A B Q A A g A I A D J 9 m U 6 l m 8 H h F A E A A B 4 E A A A T A A A A A A A A A A A A A A A A A O Y B A A B G b 3 J t d W x h c y 9 T Z W N 0 a W 9 u M S 5 t U E s F B g A A A A A D A A M A w g A A A E c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8 X A A A A A A A A P R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F f S W 1 w b 3 J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M y 0 y O F Q x M j o w N j o 0 M i 4 5 M T Y 0 M T g 5 W i I g L z 4 8 R W 5 0 c n k g V H l w Z T 0 i R m l s b E N v b H V t b l R 5 c G V z I i B W Y W x 1 Z T 0 i c 0 J n T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V 9 J b X B v c n Q v Q 2 h h b m d l Z C B U e X B l L n t D b 2 x 1 b W 4 x L D B 9 J n F 1 b 3 Q 7 L C Z x d W 9 0 O 1 N l Y 3 R p b 2 4 x L 0 R h d G F f S W 1 w b 3 J 0 L 0 N o Y W 5 n Z W Q g V H l w Z S 5 7 Q 2 9 s d W 1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E Y X R h X 0 l t c G 9 y d C 9 D a G F u Z 2 V k I F R 5 c G U u e 0 N v b H V t b j E s M H 0 m c X V v d D s s J n F 1 b 3 Q 7 U 2 V j d G l v b j E v R G F 0 Y V 9 J b X B v c n Q v Q 2 h h b m d l Z C B U e X B l L n t D b 2 x 1 b W 4 y L D F 9 J n F 1 b 3 Q 7 X S w m c X V v d D t S Z W x h d G l v b n N o a X B J b m Z v J n F 1 b 3 Q 7 O l t d f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R G F 0 Y V 9 J b X B v c n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V 9 J b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X 0 l t c G 9 y d C U y M C g y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0 L T I 1 V D E 0 O j M 5 O j M 2 L j Y y N T U 2 M z Z a I i A v P j x F b n R y e S B U e X B l P S J G a W x s Q 2 9 s d W 1 u V H l w Z X M i I F Z h b H V l P S J z Q m d N P S I g L z 4 8 R W 5 0 c n k g V H l w Z T 0 i R m l s b E N v b H V t b k 5 h b W V z I i B W Y W x 1 Z T 0 i c 1 s m c X V v d D t D b 2 x 1 b W 4 x J n F 1 b 3 Q 7 L C Z x d W 9 0 O 0 N v b H V t b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X 0 l t c G 9 y d C A o M i k v Q 2 h h b m d l Z C B U e X B l L n t D b 2 x 1 b W 4 x L D B 9 J n F 1 b 3 Q 7 L C Z x d W 9 0 O 1 N l Y 3 R p b 2 4 x L 0 R h d G F f S W 1 w b 3 J 0 I C g y K S 9 D a G F u Z 2 V k I F R 5 c G U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R G F 0 Y V 9 J b X B v c n Q g K D I p L 0 N o Y W 5 n Z W Q g V H l w Z S 5 7 Q 2 9 s d W 1 u M S w w f S Z x d W 9 0 O y w m c X V v d D t T Z W N 0 a W 9 u M S 9 E Y X R h X 0 l t c G 9 y d C A o M i k v Q 2 h h b m d l Z C B U e X B l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h X 0 l t c G 9 y d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X 0 l t c G 9 y d C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F f S W 1 w b 3 J 0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l J l Y 2 9 2 Z X J 5 V G F y Z 2 V 0 U 2 h l Z X Q i I F Z h b H V l P S J z Q 2 g y I E l t c G 9 y d C B k Y X R h I i A v P j x F b n R y e S B U e X B l P S J S Z W N v d m V y e V R h c m d l d E N v b H V t b i I g V m F s d W U 9 I m w y I i A v P j x F b n R y e S B U e X B l P S J S Z W N v d m V y e V R h c m d l d F J v d y I g V m F s d W U 9 I m w 1 I i A v P j x F b n R y e S B U e X B l P S J G a W x s V G F y Z 2 V 0 I i B W Y W x 1 Z T 0 i c 0 R h d G F f S W 1 w b 3 J 0 X 1 8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Q t M j V U M T Q 6 N D E 6 M z c u N z M 5 M D Q 5 N 1 o i I C 8 + P E V u d H J 5 I F R 5 c G U 9 I k Z p b G x D b 2 x 1 b W 5 U e X B l c y I g V m F s d W U 9 I n N C Z 0 0 9 I i A v P j x F b n R y e S B U e X B l P S J G a W x s Q 2 9 s d W 1 u T m F t Z X M i I F Z h b H V l P S J z W y Z x d W 9 0 O 0 N v b H V t b j E m c X V v d D s s J n F 1 b 3 Q 7 Q 2 9 s d W 1 u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F f S W 1 w b 3 J 0 I C g z K S 9 D a G F u Z 2 V k I F R 5 c G U u e 0 N v b H V t b j E s M H 0 m c X V v d D s s J n F 1 b 3 Q 7 U 2 V j d G l v b j E v R G F 0 Y V 9 J b X B v c n Q g K D M p L 0 N o Y W 5 n Z W Q g V H l w Z S 5 7 Q 2 9 s d W 1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E Y X R h X 0 l t c G 9 y d C A o M y k v Q 2 h h b m d l Z C B U e X B l L n t D b 2 x 1 b W 4 x L D B 9 J n F 1 b 3 Q 7 L C Z x d W 9 0 O 1 N l Y 3 R p b 2 4 x L 0 R h d G F f S W 1 w b 3 J 0 I C g z K S 9 D a G F u Z 2 V k I F R 5 c G U u e 0 N v b H V t b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F f S W 1 w b 3 J 0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F f S W 1 w b 3 J 0 J T I w K D M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Y L v 4 5 a n i N O q R L c t M 0 o P r E A A A A A A g A A A A A A A 2 Y A A M A A A A A Q A A A A R G J H 3 4 j X 0 C r d W i f T H L Z P v g A A A A A E g A A A o A A A A B A A A A C M M F X h f j r f l y G 5 m B 8 c s w b Y U A A A A C h r T 9 I T 4 Z E C I J H D T M 9 4 p E 4 a Y 6 1 2 S S D b U P O B j + o h s w / k d B Q N J J B X h D C 4 y A Z p s k D x z x 5 3 L l Q F o N o D L G Q U 1 t b v 9 f 7 t z w 7 C v a w b L k e t K D F G z 9 H J F A A A A P M V A F r 7 G J B 0 w O l 7 6 0 r 6 b i + H x l a C < / D a t a M a s h u p > 
</file>

<file path=customXml/itemProps1.xml><?xml version="1.0" encoding="utf-8"?>
<ds:datastoreItem xmlns:ds="http://schemas.openxmlformats.org/officeDocument/2006/customXml" ds:itemID="{7C061692-063F-4B77-B1E7-ECB2181294B1}"/>
</file>

<file path=customXml/itemProps2.xml><?xml version="1.0" encoding="utf-8"?>
<ds:datastoreItem xmlns:ds="http://schemas.openxmlformats.org/officeDocument/2006/customXml" ds:itemID="{69CCC2B0-A1FE-4BB6-8194-70402512C2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EA82AC-B67B-4431-9356-F731EC179C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EDF5392D-8E60-452D-B0F6-EEDE5440F00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40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2" baseType="lpstr">
      <vt:lpstr>CH15(1) Simple</vt:lpstr>
      <vt:lpstr>Ch15(2) Absolute cell ref</vt:lpstr>
      <vt:lpstr>Ch15(3) Sum(1)</vt:lpstr>
      <vt:lpstr>Ch15(4) Sum(2)</vt:lpstr>
      <vt:lpstr>Ch15(5) Date and time</vt:lpstr>
      <vt:lpstr>Ch15(6) Round</vt:lpstr>
      <vt:lpstr>Ch15(7) Charts(1)</vt:lpstr>
      <vt:lpstr>Ch15(8) Charts(2)</vt:lpstr>
      <vt:lpstr>Ch15(9) Links(1)</vt:lpstr>
      <vt:lpstr>Ch15(10) Links(2)</vt:lpstr>
      <vt:lpstr>Ch16(1) Average</vt:lpstr>
      <vt:lpstr>Ch16(2) Movingave</vt:lpstr>
      <vt:lpstr>Ch16(3) Count and Countif</vt:lpstr>
      <vt:lpstr>Ch16(4) Forecast</vt:lpstr>
      <vt:lpstr>Ch16(5) IF</vt:lpstr>
      <vt:lpstr>Ch16(6) PivotChart(1)</vt:lpstr>
      <vt:lpstr>Ch16(7) PivotChart(2)</vt:lpstr>
      <vt:lpstr>London Chart</vt:lpstr>
      <vt:lpstr>Ch16(8) Sort</vt:lpstr>
      <vt:lpstr>Ch16(9) Conditional</vt:lpstr>
      <vt:lpstr>Ch16(10) Subtotal</vt:lpstr>
      <vt:lpstr>Ch16(11) Filter</vt:lpstr>
      <vt:lpstr>Ch16(12) Lookup</vt:lpstr>
      <vt:lpstr>Ch16(13) Pivot(1)</vt:lpstr>
      <vt:lpstr>Ch16(14) Pivot(2)</vt:lpstr>
      <vt:lpstr>Ch16(15) Goalseek</vt:lpstr>
      <vt:lpstr>Ch16(16) Validation</vt:lpstr>
      <vt:lpstr>Ch16(17) Duplicates</vt:lpstr>
      <vt:lpstr>Ch17(1) Cost Card</vt:lpstr>
      <vt:lpstr>Ch17(2) Budgets</vt:lpstr>
      <vt:lpstr>Ch17(3) Operating statement</vt:lpstr>
      <vt:lpstr>CH17(4) Absorption</vt:lpstr>
      <vt:lpstr>CH17(4) Short term decision</vt:lpstr>
      <vt:lpstr>Ch17(6) Cash budget</vt:lpstr>
      <vt:lpstr>SUP(1) Import data</vt:lpstr>
      <vt:lpstr>SUP(2) Formatting</vt:lpstr>
      <vt:lpstr>SUP(4) Numbers(1)</vt:lpstr>
      <vt:lpstr>SUP(5) Numbers(2)</vt:lpstr>
      <vt:lpstr>SUP(6) Numbers(3)</vt:lpstr>
      <vt:lpstr>SUP(7) Headers</vt:lpstr>
      <vt:lpstr>Chart1</vt:lpstr>
      <vt:lpstr>Scores</vt:lpstr>
    </vt:vector>
  </TitlesOfParts>
  <Company>BPP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Fry</dc:creator>
  <cp:lastModifiedBy>Ali Ryder</cp:lastModifiedBy>
  <cp:lastPrinted>2016-05-18T08:46:29Z</cp:lastPrinted>
  <dcterms:created xsi:type="dcterms:W3CDTF">2011-01-09T17:28:38Z</dcterms:created>
  <dcterms:modified xsi:type="dcterms:W3CDTF">2022-02-17T15:40:22Z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0x010100048F360B8B94B24C80625B750664A7C7</vt:lpwstr>
  </property>
</Properties>
</file>